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0" windowWidth="16380" windowHeight="8200" tabRatio="620" activeTab="3"/>
  </bookViews>
  <sheets>
    <sheet name="Info" sheetId="1" r:id="rId1"/>
    <sheet name="Optionen" sheetId="2" r:id="rId2"/>
    <sheet name="Noteneingabe" sheetId="3" r:id="rId3"/>
    <sheet name="Zeugnisvorschau" sheetId="4" r:id="rId4"/>
    <sheet name="Statistik" sheetId="5" r:id="rId5"/>
  </sheets>
  <definedNames/>
  <calcPr fullCalcOnLoad="1"/>
</workbook>
</file>

<file path=xl/sharedStrings.xml><?xml version="1.0" encoding="utf-8"?>
<sst xmlns="http://schemas.openxmlformats.org/spreadsheetml/2006/main" count="329" uniqueCount="132">
  <si>
    <t>Schulnoten Schülerversion</t>
  </si>
  <si>
    <t>Version 4.0g – 10.12.2007 – Freeware!</t>
  </si>
  <si>
    <t>Changelog</t>
  </si>
  <si>
    <t>www.jkel.org</t>
  </si>
  <si>
    <t>4.0g – 10.12.2007</t>
  </si>
  <si>
    <t>Einige Fehler in der Zeugnisvorschau ausgebessert. Dank an Vincent für die Hinweise.</t>
  </si>
  <si>
    <t>4.0f – 10.11.2005</t>
  </si>
  <si>
    <t>Einige Optionen können jetzt direkt ausgewählt werden.</t>
  </si>
  <si>
    <t>Kleinere Verbesserungen.</t>
  </si>
  <si>
    <t>4.0e – 4.12.2004</t>
  </si>
  <si>
    <t>Fehler mit falschen Monatsangaben im Zeugnis enfernt.</t>
  </si>
  <si>
    <t>4.0d – 9.10.2004</t>
  </si>
  <si>
    <t>Als höchste Note ist neben 6 jetzt auch 5 möglich (Österreichisches Schulsystem)</t>
  </si>
  <si>
    <t>4.0c – 23.9.2004</t>
  </si>
  <si>
    <t>Bezeichnungen für Tests lassen sich nun in den Optionen ändern</t>
  </si>
  <si>
    <t>4.0b – 12.2.2004</t>
  </si>
  <si>
    <t>Vorrückungsvermerk im Zeugnis lässt sich jetzt auch deaktivieren</t>
  </si>
  <si>
    <t>In Physik und Chemie Standardgewichtung von Schulaufgaben auf 1 gesetzt (bisher 2)</t>
  </si>
  <si>
    <t>Hintergrund beim Zeugnis weiß (bisher Standardhintergrund)</t>
  </si>
  <si>
    <t>Noten beim Zeugnis jetzt mit grauem Hintergrund</t>
  </si>
  <si>
    <t>Eingabe von Daten zu Person und Schule:</t>
  </si>
  <si>
    <t>Vorname:</t>
  </si>
  <si>
    <t>2. Vorname</t>
  </si>
  <si>
    <t>Nachname:</t>
  </si>
  <si>
    <t>Geburtsort:</t>
  </si>
  <si>
    <t>Geschlecht:</t>
  </si>
  <si>
    <t>Religion:</t>
  </si>
  <si>
    <t>Name der Schule:</t>
  </si>
  <si>
    <t>Art der Schule:</t>
  </si>
  <si>
    <t>Ort der Schule:</t>
  </si>
  <si>
    <t>Klasse</t>
  </si>
  <si>
    <t>Berufsstand:</t>
  </si>
  <si>
    <t>Schulleiter:</t>
  </si>
  <si>
    <t>Klassenleiter:</t>
  </si>
  <si>
    <t>Besuchte Wahlkurse:</t>
  </si>
  <si>
    <t>Geburtsdatum:</t>
  </si>
  <si>
    <t>Zeugnisvorschauanzeige:</t>
  </si>
  <si>
    <t>Zwischen- oder Jahreszeugnis?</t>
  </si>
  <si>
    <t>Zwischenzeugnis</t>
  </si>
  <si>
    <t>Zeugnisunterschriften:</t>
  </si>
  <si>
    <t>Beispiel:</t>
  </si>
  <si>
    <t>Gib hier ein paar Adjektive ein,</t>
  </si>
  <si>
    <t>die zu dir passen könnten:</t>
  </si>
  <si>
    <t>(Müssen drei sein, eins pro Zelle)</t>
  </si>
  <si>
    <t>In welchem Ort wohnst du?</t>
  </si>
  <si>
    <t>Zeugnisnoten:</t>
  </si>
  <si>
    <t>Zwischenzeugnis:</t>
  </si>
  <si>
    <t>Note: 1, --&gt; Text heißt</t>
  </si>
  <si>
    <t>sehr gut</t>
  </si>
  <si>
    <t>Note als</t>
  </si>
  <si>
    <t>Wort</t>
  </si>
  <si>
    <t>Note: 2, --&gt; Text heißt</t>
  </si>
  <si>
    <t>gut</t>
  </si>
  <si>
    <t>Note: 3, --&gt; Text heißt</t>
  </si>
  <si>
    <t>befriedigend</t>
  </si>
  <si>
    <t>Jahreszeugnis:</t>
  </si>
  <si>
    <t>Note: 4, --&gt; Text heißt</t>
  </si>
  <si>
    <t>ausreichend</t>
  </si>
  <si>
    <t>Note: 5, --&gt; Text heißt</t>
  </si>
  <si>
    <t>mangelhaft</t>
  </si>
  <si>
    <t>Note: 6, --&gt; Text heißt</t>
  </si>
  <si>
    <t>ungenügend</t>
  </si>
  <si>
    <r>
      <t>Wahkurstext</t>
    </r>
    <r>
      <rPr>
        <sz val="12"/>
        <color indexed="8"/>
        <rFont val="Arial"/>
        <family val="2"/>
      </rPr>
      <t xml:space="preserve">: </t>
    </r>
  </si>
  <si>
    <t>Der Schüler/die Schülerin nahm mit</t>
  </si>
  <si>
    <t>großen Erfolg</t>
  </si>
  <si>
    <t>am Wahlkurs ... teil.</t>
  </si>
  <si>
    <t>Vorrückungsvermerk anzeigen</t>
  </si>
  <si>
    <t>ja</t>
  </si>
  <si>
    <t>Bezeichnungen für Tests</t>
  </si>
  <si>
    <t>Schrifliche Prüfungen:</t>
  </si>
  <si>
    <t>Mündliche Noten 1:</t>
  </si>
  <si>
    <t>Mündliche Noten 2:</t>
  </si>
  <si>
    <t>Ausfragen / Referate</t>
  </si>
  <si>
    <t>Mündliche Noten 3:</t>
  </si>
  <si>
    <t>Mitarbeitsnoten</t>
  </si>
  <si>
    <t>Noten</t>
  </si>
  <si>
    <t>Höchste Note:</t>
  </si>
  <si>
    <t>Das Klassenziel ist verfehlt bei</t>
  </si>
  <si>
    <t>Schnitt schriftlich:</t>
  </si>
  <si>
    <t>zählt</t>
  </si>
  <si>
    <t>-fach</t>
  </si>
  <si>
    <t>Schnitt mündlich:</t>
  </si>
  <si>
    <t>Aktueller Durchschnitt:</t>
  </si>
  <si>
    <t>Zeugnisnote:</t>
  </si>
  <si>
    <t>Vorrückungsfach:</t>
  </si>
  <si>
    <t>Deutsch</t>
  </si>
  <si>
    <t>Latein</t>
  </si>
  <si>
    <t>Griechisch</t>
  </si>
  <si>
    <t>Englisch</t>
  </si>
  <si>
    <t>Französisch</t>
  </si>
  <si>
    <t>Mathematik</t>
  </si>
  <si>
    <t>Physik</t>
  </si>
  <si>
    <t>Chemie</t>
  </si>
  <si>
    <t>Biologie</t>
  </si>
  <si>
    <t>Geschichte</t>
  </si>
  <si>
    <t>Erdkunde</t>
  </si>
  <si>
    <t>Sozialkunde</t>
  </si>
  <si>
    <t>Wirtschafts- und Rechtslehre</t>
  </si>
  <si>
    <t>Kunst</t>
  </si>
  <si>
    <t>Musik</t>
  </si>
  <si>
    <t>Sport</t>
  </si>
  <si>
    <t>nein</t>
  </si>
  <si>
    <t>Spanisch</t>
  </si>
  <si>
    <t>Informatik</t>
  </si>
  <si>
    <t>Werken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</si>
  <si>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</si>
  <si>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</si>
  <si>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</si>
  <si>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</si>
  <si>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</si>
  <si>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</si>
  <si>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</si>
  <si>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</si>
  <si>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</si>
  <si>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Bemerkungen über Anlagen, Mitarbeit und Verhalten:</t>
  </si>
  <si>
    <t>Oktober</t>
  </si>
  <si>
    <t>November</t>
  </si>
  <si>
    <t>Dezember</t>
  </si>
  <si>
    <t>Leistungen:</t>
  </si>
  <si>
    <t>Erstellt mit dasepp Schulnoten Schülerversion - © 2002 – 2007 dasepp - Kostenloser Download unter www.dasepp.de</t>
  </si>
  <si>
    <t>Gesamtdurchschnitte</t>
  </si>
  <si>
    <t>auf</t>
  </si>
  <si>
    <t>Stellen runden.</t>
  </si>
  <si>
    <t>Gesamtdurchschnitt ...</t>
  </si>
  <si>
    <t>... aller Zeugnisnoten</t>
  </si>
  <si>
    <t>... aller „aktuellen Durchschnitte“</t>
  </si>
  <si>
    <t>... aller Noten (schr. + mündl.)</t>
  </si>
  <si>
    <t>Notenverteilung:</t>
  </si>
  <si>
    <t>Note:</t>
  </si>
  <si>
    <t>Anzahl:</t>
  </si>
  <si>
    <t>HÜ</t>
  </si>
  <si>
    <t>Arbeiten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</si>
</sst>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€]#,##0.00\ ;[$€]\(#,##0.00\);[$€]\-#\ "/>
  </numFmts>
  <fonts count="77">
    <font>
      <sz val="10"/>
      <name val="Arial"/>
      <family val="2"/>
    </font>
    <font>
      <sz val="10"/>
      <color indexed="8"/>
      <name val="Arial"/>
      <family val="2"/>
    </font>
    <font>
      <sz val="12"/>
      <name val="Tahoma"/>
      <family val="2"/>
    </font>
    <font>
      <sz val="12"/>
      <color indexed="8"/>
      <name val="Tahoma"/>
      <family val="2"/>
    </font>
    <font>
      <u val="single"/>
      <sz val="12"/>
      <color indexed="12"/>
      <name val="Tahoma"/>
      <family val="2"/>
    </font>
    <font>
      <sz val="10"/>
      <color indexed="8"/>
      <name val="Tahoma"/>
      <family val="2"/>
    </font>
    <font>
      <sz val="54"/>
      <color indexed="27"/>
      <name val="Tahoma"/>
      <family val="2"/>
    </font>
    <font>
      <b/>
      <sz val="10"/>
      <color indexed="8"/>
      <name val="Tahoma"/>
      <family val="2"/>
    </font>
    <font>
      <sz val="10"/>
      <color indexed="8"/>
      <name val="Arial Unicode MS"/>
      <family val="2"/>
    </font>
    <font>
      <sz val="12"/>
      <color indexed="44"/>
      <name val="Tahoma"/>
      <family val="2"/>
    </font>
    <font>
      <b/>
      <u val="single"/>
      <sz val="12"/>
      <color indexed="59"/>
      <name val="Tahoma"/>
      <family val="2"/>
    </font>
    <font>
      <sz val="12"/>
      <color indexed="49"/>
      <name val="Tahoma"/>
      <family val="2"/>
    </font>
    <font>
      <sz val="12"/>
      <color indexed="10"/>
      <name val="Tahoma"/>
      <family val="2"/>
    </font>
    <font>
      <sz val="12"/>
      <color indexed="9"/>
      <name val="Tahoma"/>
      <family val="2"/>
    </font>
    <font>
      <sz val="12"/>
      <color indexed="12"/>
      <name val="Lucida Handwriting"/>
      <family val="4"/>
    </font>
    <font>
      <sz val="11"/>
      <color indexed="8"/>
      <name val="Tahoma"/>
      <family val="2"/>
    </font>
    <font>
      <u val="single"/>
      <sz val="12"/>
      <color indexed="8"/>
      <name val="Tahoma"/>
      <family val="2"/>
    </font>
    <font>
      <sz val="12"/>
      <color indexed="13"/>
      <name val="Tahoma"/>
      <family val="2"/>
    </font>
    <font>
      <sz val="12"/>
      <color indexed="8"/>
      <name val="Arial"/>
      <family val="2"/>
    </font>
    <font>
      <b/>
      <u val="single"/>
      <sz val="10"/>
      <color indexed="8"/>
      <name val="Tahoma"/>
      <family val="2"/>
    </font>
    <font>
      <sz val="10"/>
      <name val="Tahoma"/>
      <family val="2"/>
    </font>
    <font>
      <b/>
      <sz val="16"/>
      <color indexed="8"/>
      <name val="Times New Roman"/>
      <family val="1"/>
    </font>
    <font>
      <sz val="8"/>
      <color indexed="62"/>
      <name val="Arial"/>
      <family val="2"/>
    </font>
    <font>
      <sz val="10"/>
      <color indexed="62"/>
      <name val="Arial"/>
      <family val="2"/>
    </font>
    <font>
      <sz val="10"/>
      <color indexed="9"/>
      <name val="Arial"/>
      <family val="2"/>
    </font>
    <font>
      <sz val="20"/>
      <color indexed="8"/>
      <name val="comic"/>
      <family val="5"/>
    </font>
    <font>
      <sz val="12"/>
      <color indexed="8"/>
      <name val="Courier New"/>
      <family val="3"/>
    </font>
    <font>
      <sz val="8"/>
      <color indexed="8"/>
      <name val="Arial"/>
      <family val="2"/>
    </font>
    <font>
      <sz val="11"/>
      <color indexed="8"/>
      <name val="Courier New"/>
      <family val="3"/>
    </font>
    <font>
      <sz val="10"/>
      <color indexed="8"/>
      <name val="Courier New"/>
      <family val="3"/>
    </font>
    <font>
      <sz val="12"/>
      <color indexed="62"/>
      <name val="Arial"/>
      <family val="2"/>
    </font>
    <font>
      <sz val="10"/>
      <color indexed="9"/>
      <name val="Courier New"/>
      <family val="3"/>
    </font>
    <font>
      <sz val="10.5"/>
      <color indexed="8"/>
      <name val="Courier New"/>
      <family val="3"/>
    </font>
    <font>
      <sz val="11"/>
      <color indexed="8"/>
      <name val="Arial"/>
      <family val="2"/>
    </font>
    <font>
      <sz val="18"/>
      <color indexed="12"/>
      <name val="Lucida Handwriting"/>
      <family val="4"/>
    </font>
    <font>
      <sz val="13"/>
      <color indexed="48"/>
      <name val="Lucida Handwriting"/>
      <family val="4"/>
    </font>
    <font>
      <u val="single"/>
      <sz val="10"/>
      <color indexed="8"/>
      <name val="Arial"/>
      <family val="2"/>
    </font>
    <font>
      <sz val="13"/>
      <color indexed="12"/>
      <name val="Lucida Handwriting"/>
      <family val="4"/>
    </font>
    <font>
      <u val="single"/>
      <sz val="10"/>
      <color indexed="12"/>
      <name val="Arial"/>
      <family val="2"/>
    </font>
    <font>
      <sz val="5"/>
      <color indexed="8"/>
      <name val="Arial"/>
      <family val="2"/>
    </font>
    <font>
      <b/>
      <u val="single"/>
      <sz val="12"/>
      <name val="Tahoma"/>
      <family val="2"/>
    </font>
    <font>
      <sz val="7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58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54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9"/>
      <color indexed="8"/>
      <name val="Arial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sz val="12"/>
      <color rgb="FF3F3F76"/>
      <name val="Calibri"/>
      <family val="2"/>
    </font>
    <font>
      <b/>
      <sz val="12"/>
      <color theme="1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b/>
      <sz val="12"/>
      <color theme="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49"/>
      </left>
      <right style="medium">
        <color indexed="49"/>
      </right>
      <top style="medium">
        <color indexed="49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49"/>
      </left>
      <right style="medium">
        <color indexed="49"/>
      </right>
      <top style="medium">
        <color indexed="49"/>
      </top>
      <bottom style="thin">
        <color indexed="49"/>
      </bottom>
    </border>
    <border>
      <left style="medium">
        <color indexed="49"/>
      </left>
      <right style="medium">
        <color indexed="49"/>
      </right>
      <top style="thin">
        <color indexed="49"/>
      </top>
      <bottom style="thin">
        <color indexed="49"/>
      </bottom>
    </border>
    <border>
      <left style="medium">
        <color indexed="49"/>
      </left>
      <right style="medium">
        <color indexed="49"/>
      </right>
      <top style="thin">
        <color indexed="49"/>
      </top>
      <bottom style="medium">
        <color indexed="49"/>
      </bottom>
    </border>
    <border>
      <left style="medium">
        <color indexed="27"/>
      </left>
      <right style="medium">
        <color indexed="27"/>
      </right>
      <top style="medium">
        <color indexed="27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29"/>
      </left>
      <right style="medium">
        <color indexed="29"/>
      </right>
      <top style="medium">
        <color indexed="29"/>
      </top>
      <bottom style="medium">
        <color indexed="29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1" applyNumberFormat="0" applyAlignment="0" applyProtection="0"/>
    <xf numFmtId="0" fontId="63" fillId="26" borderId="2" applyNumberFormat="0" applyAlignment="0" applyProtection="0"/>
    <xf numFmtId="0" fontId="1" fillId="27" borderId="3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" fillId="28" borderId="0" applyNumberFormat="0" applyBorder="0" applyAlignment="0" applyProtection="0"/>
    <xf numFmtId="0" fontId="64" fillId="29" borderId="2" applyNumberFormat="0" applyAlignment="0" applyProtection="0"/>
    <xf numFmtId="0" fontId="65" fillId="0" borderId="4" applyNumberFormat="0" applyFill="0" applyAlignment="0" applyProtection="0"/>
    <xf numFmtId="0" fontId="66" fillId="0" borderId="0" applyNumberFormat="0" applyFill="0" applyBorder="0" applyAlignment="0" applyProtection="0"/>
    <xf numFmtId="0" fontId="67" fillId="30" borderId="0" applyNumberFormat="0" applyBorder="0" applyAlignment="0" applyProtection="0"/>
    <xf numFmtId="0" fontId="0" fillId="31" borderId="5" applyNumberFormat="0" applyFont="0" applyAlignment="0" applyProtection="0"/>
    <xf numFmtId="0" fontId="3" fillId="32" borderId="6">
      <alignment/>
      <protection hidden="1"/>
    </xf>
    <xf numFmtId="0" fontId="68" fillId="33" borderId="0" applyNumberFormat="0" applyBorder="0" applyAlignment="0" applyProtection="0"/>
    <xf numFmtId="9" fontId="0" fillId="0" borderId="0" applyFill="0" applyBorder="0" applyAlignment="0" applyProtection="0"/>
    <xf numFmtId="0" fontId="69" fillId="34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0" borderId="7" applyNumberFormat="0" applyFill="0" applyAlignment="0" applyProtection="0"/>
    <xf numFmtId="0" fontId="72" fillId="0" borderId="8" applyNumberFormat="0" applyFill="0" applyAlignment="0" applyProtection="0"/>
    <xf numFmtId="0" fontId="73" fillId="0" borderId="9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10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75" fillId="0" borderId="0" applyNumberFormat="0" applyFill="0" applyBorder="0" applyAlignment="0" applyProtection="0"/>
    <xf numFmtId="0" fontId="76" fillId="35" borderId="11" applyNumberFormat="0" applyAlignment="0" applyProtection="0"/>
  </cellStyleXfs>
  <cellXfs count="107">
    <xf numFmtId="0" fontId="0" fillId="0" borderId="0" xfId="0" applyAlignment="1">
      <alignment/>
    </xf>
    <xf numFmtId="0" fontId="5" fillId="36" borderId="0" xfId="0" applyNumberFormat="1" applyFont="1" applyFill="1" applyBorder="1" applyAlignment="1" applyProtection="1">
      <alignment/>
      <protection/>
    </xf>
    <xf numFmtId="0" fontId="3" fillId="36" borderId="0" xfId="0" applyNumberFormat="1" applyFont="1" applyFill="1" applyBorder="1" applyAlignment="1" applyProtection="1">
      <alignment/>
      <protection/>
    </xf>
    <xf numFmtId="0" fontId="6" fillId="36" borderId="0" xfId="0" applyNumberFormat="1" applyFont="1" applyFill="1" applyBorder="1" applyAlignment="1" applyProtection="1">
      <alignment/>
      <protection/>
    </xf>
    <xf numFmtId="0" fontId="7" fillId="37" borderId="0" xfId="0" applyNumberFormat="1" applyFont="1" applyFill="1" applyBorder="1" applyAlignment="1" applyProtection="1">
      <alignment/>
      <protection/>
    </xf>
    <xf numFmtId="0" fontId="5" fillId="37" borderId="0" xfId="0" applyNumberFormat="1" applyFont="1" applyFill="1" applyBorder="1" applyAlignment="1" applyProtection="1">
      <alignment/>
      <protection/>
    </xf>
    <xf numFmtId="0" fontId="8" fillId="37" borderId="0" xfId="0" applyNumberFormat="1" applyFont="1" applyFill="1" applyBorder="1" applyAlignment="1" applyProtection="1">
      <alignment/>
      <protection/>
    </xf>
    <xf numFmtId="14" fontId="9" fillId="36" borderId="0" xfId="0" applyNumberFormat="1" applyFont="1" applyFill="1" applyBorder="1" applyAlignment="1" applyProtection="1">
      <alignment/>
      <protection/>
    </xf>
    <xf numFmtId="0" fontId="10" fillId="32" borderId="6" xfId="0" applyNumberFormat="1" applyFont="1" applyFill="1" applyBorder="1" applyAlignment="1" applyProtection="1">
      <alignment/>
      <protection hidden="1"/>
    </xf>
    <xf numFmtId="0" fontId="3" fillId="32" borderId="6" xfId="0" applyNumberFormat="1" applyFont="1" applyFill="1" applyBorder="1" applyAlignment="1" applyProtection="1">
      <alignment/>
      <protection hidden="1"/>
    </xf>
    <xf numFmtId="0" fontId="11" fillId="32" borderId="6" xfId="0" applyNumberFormat="1" applyFont="1" applyFill="1" applyBorder="1" applyAlignment="1" applyProtection="1">
      <alignment/>
      <protection hidden="1"/>
    </xf>
    <xf numFmtId="0" fontId="12" fillId="32" borderId="6" xfId="0" applyNumberFormat="1" applyFont="1" applyFill="1" applyBorder="1" applyAlignment="1" applyProtection="1">
      <alignment/>
      <protection hidden="1"/>
    </xf>
    <xf numFmtId="0" fontId="0" fillId="0" borderId="6" xfId="0" applyBorder="1" applyAlignment="1">
      <alignment/>
    </xf>
    <xf numFmtId="0" fontId="3" fillId="32" borderId="6" xfId="0" applyNumberFormat="1" applyFont="1" applyFill="1" applyBorder="1" applyAlignment="1" applyProtection="1">
      <alignment horizontal="right"/>
      <protection hidden="1"/>
    </xf>
    <xf numFmtId="0" fontId="3" fillId="38" borderId="6" xfId="0" applyNumberFormat="1" applyFont="1" applyFill="1" applyBorder="1" applyAlignment="1" applyProtection="1">
      <alignment/>
      <protection locked="0"/>
    </xf>
    <xf numFmtId="0" fontId="13" fillId="32" borderId="6" xfId="0" applyNumberFormat="1" applyFont="1" applyFill="1" applyBorder="1" applyAlignment="1" applyProtection="1">
      <alignment/>
      <protection hidden="1"/>
    </xf>
    <xf numFmtId="0" fontId="3" fillId="39" borderId="6" xfId="0" applyNumberFormat="1" applyFont="1" applyFill="1" applyBorder="1" applyAlignment="1" applyProtection="1">
      <alignment horizontal="center"/>
      <protection hidden="1"/>
    </xf>
    <xf numFmtId="0" fontId="3" fillId="32" borderId="6" xfId="50">
      <alignment/>
      <protection hidden="1"/>
    </xf>
    <xf numFmtId="0" fontId="3" fillId="32" borderId="6" xfId="0" applyNumberFormat="1" applyFont="1" applyFill="1" applyBorder="1" applyAlignment="1" applyProtection="1">
      <alignment horizontal="right" vertical="top"/>
      <protection hidden="1"/>
    </xf>
    <xf numFmtId="0" fontId="11" fillId="32" borderId="6" xfId="0" applyNumberFormat="1" applyFont="1" applyFill="1" applyBorder="1" applyAlignment="1" applyProtection="1">
      <alignment horizontal="left"/>
      <protection hidden="1"/>
    </xf>
    <xf numFmtId="0" fontId="2" fillId="32" borderId="6" xfId="0" applyNumberFormat="1" applyFont="1" applyFill="1" applyBorder="1" applyAlignment="1" applyProtection="1">
      <alignment/>
      <protection hidden="1"/>
    </xf>
    <xf numFmtId="49" fontId="11" fillId="32" borderId="6" xfId="0" applyNumberFormat="1" applyFont="1" applyFill="1" applyBorder="1" applyAlignment="1" applyProtection="1">
      <alignment/>
      <protection hidden="1"/>
    </xf>
    <xf numFmtId="14" fontId="3" fillId="38" borderId="6" xfId="0" applyNumberFormat="1" applyFont="1" applyFill="1" applyBorder="1" applyAlignment="1" applyProtection="1">
      <alignment horizontal="left"/>
      <protection locked="0"/>
    </xf>
    <xf numFmtId="0" fontId="11" fillId="32" borderId="6" xfId="0" applyFont="1" applyFill="1" applyBorder="1" applyAlignment="1">
      <alignment/>
    </xf>
    <xf numFmtId="0" fontId="2" fillId="32" borderId="6" xfId="0" applyFont="1" applyFill="1" applyBorder="1" applyAlignment="1">
      <alignment/>
    </xf>
    <xf numFmtId="0" fontId="3" fillId="38" borderId="6" xfId="0" applyNumberFormat="1" applyFont="1" applyFill="1" applyBorder="1" applyAlignment="1" applyProtection="1">
      <alignment horizontal="center"/>
      <protection locked="0"/>
    </xf>
    <xf numFmtId="0" fontId="13" fillId="32" borderId="6" xfId="0" applyNumberFormat="1" applyFont="1" applyFill="1" applyBorder="1" applyAlignment="1" applyProtection="1">
      <alignment horizontal="left"/>
      <protection hidden="1"/>
    </xf>
    <xf numFmtId="0" fontId="3" fillId="38" borderId="6" xfId="0" applyNumberFormat="1" applyFont="1" applyFill="1" applyBorder="1" applyAlignment="1" applyProtection="1">
      <alignment horizontal="center" vertical="center"/>
      <protection locked="0"/>
    </xf>
    <xf numFmtId="0" fontId="14" fillId="32" borderId="6" xfId="0" applyNumberFormat="1" applyFont="1" applyFill="1" applyBorder="1" applyAlignment="1" applyProtection="1">
      <alignment vertical="top"/>
      <protection hidden="1"/>
    </xf>
    <xf numFmtId="0" fontId="3" fillId="38" borderId="12" xfId="0" applyNumberFormat="1" applyFont="1" applyFill="1" applyBorder="1" applyAlignment="1" applyProtection="1">
      <alignment/>
      <protection locked="0"/>
    </xf>
    <xf numFmtId="0" fontId="3" fillId="38" borderId="13" xfId="0" applyNumberFormat="1" applyFont="1" applyFill="1" applyBorder="1" applyAlignment="1" applyProtection="1">
      <alignment/>
      <protection locked="0"/>
    </xf>
    <xf numFmtId="0" fontId="15" fillId="32" borderId="6" xfId="0" applyNumberFormat="1" applyFont="1" applyFill="1" applyBorder="1" applyAlignment="1" applyProtection="1">
      <alignment horizontal="right"/>
      <protection hidden="1"/>
    </xf>
    <xf numFmtId="0" fontId="3" fillId="38" borderId="14" xfId="0" applyNumberFormat="1" applyFont="1" applyFill="1" applyBorder="1" applyAlignment="1" applyProtection="1">
      <alignment/>
      <protection locked="0"/>
    </xf>
    <xf numFmtId="0" fontId="16" fillId="32" borderId="6" xfId="0" applyNumberFormat="1" applyFont="1" applyFill="1" applyBorder="1" applyAlignment="1" applyProtection="1">
      <alignment/>
      <protection hidden="1"/>
    </xf>
    <xf numFmtId="0" fontId="17" fillId="32" borderId="6" xfId="0" applyNumberFormat="1" applyFont="1" applyFill="1" applyBorder="1" applyAlignment="1" applyProtection="1">
      <alignment/>
      <protection hidden="1"/>
    </xf>
    <xf numFmtId="0" fontId="3" fillId="32" borderId="6" xfId="0" applyNumberFormat="1" applyFont="1" applyFill="1" applyBorder="1" applyAlignment="1" applyProtection="1">
      <alignment horizontal="center"/>
      <protection locked="0"/>
    </xf>
    <xf numFmtId="0" fontId="3" fillId="32" borderId="6" xfId="0" applyNumberFormat="1" applyFont="1" applyFill="1" applyBorder="1" applyAlignment="1" applyProtection="1">
      <alignment horizontal="left"/>
      <protection hidden="1"/>
    </xf>
    <xf numFmtId="0" fontId="3" fillId="38" borderId="6" xfId="0" applyNumberFormat="1" applyFont="1" applyFill="1" applyBorder="1" applyAlignment="1" applyProtection="1">
      <alignment horizontal="center"/>
      <protection hidden="1"/>
    </xf>
    <xf numFmtId="0" fontId="19" fillId="40" borderId="0" xfId="0" applyNumberFormat="1" applyFont="1" applyFill="1" applyBorder="1" applyAlignment="1" applyProtection="1">
      <alignment horizontal="left"/>
      <protection hidden="1"/>
    </xf>
    <xf numFmtId="0" fontId="5" fillId="40" borderId="0" xfId="0" applyNumberFormat="1" applyFont="1" applyFill="1" applyBorder="1" applyAlignment="1" applyProtection="1">
      <alignment/>
      <protection hidden="1"/>
    </xf>
    <xf numFmtId="0" fontId="5" fillId="40" borderId="0" xfId="0" applyNumberFormat="1" applyFont="1" applyFill="1" applyBorder="1" applyAlignment="1" applyProtection="1">
      <alignment vertical="center"/>
      <protection hidden="1"/>
    </xf>
    <xf numFmtId="0" fontId="20" fillId="0" borderId="0" xfId="0" applyFont="1" applyAlignment="1">
      <alignment/>
    </xf>
    <xf numFmtId="0" fontId="5" fillId="37" borderId="15" xfId="0" applyNumberFormat="1" applyFont="1" applyFill="1" applyBorder="1" applyAlignment="1" applyProtection="1">
      <alignment horizontal="center" vertical="center"/>
      <protection locked="0"/>
    </xf>
    <xf numFmtId="0" fontId="5" fillId="41" borderId="15" xfId="0" applyNumberFormat="1" applyFont="1" applyFill="1" applyBorder="1" applyAlignment="1" applyProtection="1">
      <alignment/>
      <protection hidden="1"/>
    </xf>
    <xf numFmtId="2" fontId="5" fillId="36" borderId="15" xfId="0" applyNumberFormat="1" applyFont="1" applyFill="1" applyBorder="1" applyAlignment="1" applyProtection="1">
      <alignment horizontal="center"/>
      <protection hidden="1"/>
    </xf>
    <xf numFmtId="0" fontId="5" fillId="36" borderId="0" xfId="0" applyNumberFormat="1" applyFont="1" applyFill="1" applyBorder="1" applyAlignment="1" applyProtection="1">
      <alignment/>
      <protection hidden="1"/>
    </xf>
    <xf numFmtId="0" fontId="5" fillId="40" borderId="15" xfId="0" applyNumberFormat="1" applyFont="1" applyFill="1" applyBorder="1" applyAlignment="1" applyProtection="1">
      <alignment/>
      <protection hidden="1"/>
    </xf>
    <xf numFmtId="0" fontId="5" fillId="40" borderId="15" xfId="0" applyNumberFormat="1" applyFont="1" applyFill="1" applyBorder="1" applyAlignment="1" applyProtection="1">
      <alignment horizontal="left"/>
      <protection hidden="1"/>
    </xf>
    <xf numFmtId="0" fontId="7" fillId="36" borderId="15" xfId="0" applyNumberFormat="1" applyFont="1" applyFill="1" applyBorder="1" applyAlignment="1" applyProtection="1">
      <alignment horizontal="center" vertical="center"/>
      <protection hidden="1"/>
    </xf>
    <xf numFmtId="0" fontId="19" fillId="40" borderId="0" xfId="0" applyNumberFormat="1" applyFont="1" applyFill="1" applyBorder="1" applyAlignment="1" applyProtection="1">
      <alignment/>
      <protection hidden="1"/>
    </xf>
    <xf numFmtId="0" fontId="7" fillId="40" borderId="0" xfId="0" applyNumberFormat="1" applyFont="1" applyFill="1" applyBorder="1" applyAlignment="1" applyProtection="1">
      <alignment horizontal="center"/>
      <protection hidden="1"/>
    </xf>
    <xf numFmtId="0" fontId="19" fillId="40" borderId="0" xfId="0" applyNumberFormat="1" applyFont="1" applyFill="1" applyBorder="1" applyAlignment="1" applyProtection="1">
      <alignment vertical="center"/>
      <protection hidden="1"/>
    </xf>
    <xf numFmtId="0" fontId="5" fillId="40" borderId="15" xfId="0" applyNumberFormat="1" applyFont="1" applyFill="1" applyBorder="1" applyAlignment="1" applyProtection="1">
      <alignment vertical="center"/>
      <protection hidden="1"/>
    </xf>
    <xf numFmtId="2" fontId="5" fillId="40" borderId="15" xfId="0" applyNumberFormat="1" applyFont="1" applyFill="1" applyBorder="1" applyAlignment="1" applyProtection="1">
      <alignment horizontal="left"/>
      <protection hidden="1"/>
    </xf>
    <xf numFmtId="0" fontId="5" fillId="40" borderId="0" xfId="0" applyNumberFormat="1" applyFont="1" applyFill="1" applyBorder="1" applyAlignment="1" applyProtection="1">
      <alignment horizontal="left"/>
      <protection hidden="1"/>
    </xf>
    <xf numFmtId="0" fontId="5" fillId="40" borderId="0" xfId="0" applyNumberFormat="1" applyFont="1" applyFill="1" applyBorder="1" applyAlignment="1" applyProtection="1">
      <alignment horizontal="center"/>
      <protection hidden="1"/>
    </xf>
    <xf numFmtId="0" fontId="5" fillId="40" borderId="0" xfId="0" applyNumberFormat="1" applyFont="1" applyFill="1" applyBorder="1" applyAlignment="1" applyProtection="1">
      <alignment vertical="top"/>
      <protection hidden="1"/>
    </xf>
    <xf numFmtId="0" fontId="5" fillId="40" borderId="16" xfId="0" applyNumberFormat="1" applyFont="1" applyFill="1" applyBorder="1" applyAlignment="1" applyProtection="1">
      <alignment/>
      <protection hidden="1"/>
    </xf>
    <xf numFmtId="2" fontId="7" fillId="40" borderId="0" xfId="0" applyNumberFormat="1" applyFont="1" applyFill="1" applyBorder="1" applyAlignment="1" applyProtection="1">
      <alignment horizontal="center"/>
      <protection hidden="1"/>
    </xf>
    <xf numFmtId="0" fontId="7" fillId="40" borderId="0" xfId="0" applyNumberFormat="1" applyFont="1" applyFill="1" applyBorder="1" applyAlignment="1" applyProtection="1">
      <alignment horizontal="center" vertical="center"/>
      <protection hidden="1"/>
    </xf>
    <xf numFmtId="0" fontId="1" fillId="42" borderId="0" xfId="0" applyNumberFormat="1" applyFont="1" applyFill="1" applyBorder="1" applyAlignment="1" applyProtection="1">
      <alignment/>
      <protection hidden="1"/>
    </xf>
    <xf numFmtId="0" fontId="22" fillId="42" borderId="0" xfId="0" applyNumberFormat="1" applyFont="1" applyFill="1" applyBorder="1" applyAlignment="1" applyProtection="1">
      <alignment/>
      <protection hidden="1"/>
    </xf>
    <xf numFmtId="0" fontId="23" fillId="42" borderId="0" xfId="0" applyNumberFormat="1" applyFont="1" applyFill="1" applyBorder="1" applyAlignment="1" applyProtection="1">
      <alignment/>
      <protection hidden="1"/>
    </xf>
    <xf numFmtId="0" fontId="24" fillId="42" borderId="0" xfId="0" applyNumberFormat="1" applyFont="1" applyFill="1" applyBorder="1" applyAlignment="1" applyProtection="1">
      <alignment/>
      <protection hidden="1"/>
    </xf>
    <xf numFmtId="0" fontId="23" fillId="42" borderId="0" xfId="0" applyNumberFormat="1" applyFont="1" applyFill="1" applyBorder="1" applyAlignment="1" applyProtection="1">
      <alignment vertical="center"/>
      <protection hidden="1"/>
    </xf>
    <xf numFmtId="0" fontId="23" fillId="42" borderId="0" xfId="0" applyFont="1" applyFill="1" applyAlignment="1">
      <alignment/>
    </xf>
    <xf numFmtId="0" fontId="30" fillId="42" borderId="0" xfId="0" applyNumberFormat="1" applyFont="1" applyFill="1" applyBorder="1" applyAlignment="1" applyProtection="1">
      <alignment horizontal="justify" vertical="top"/>
      <protection hidden="1"/>
    </xf>
    <xf numFmtId="0" fontId="29" fillId="42" borderId="0" xfId="0" applyNumberFormat="1" applyFont="1" applyFill="1" applyBorder="1" applyAlignment="1" applyProtection="1">
      <alignment/>
      <protection hidden="1"/>
    </xf>
    <xf numFmtId="0" fontId="29" fillId="43" borderId="0" xfId="0" applyNumberFormat="1" applyFont="1" applyFill="1" applyBorder="1" applyAlignment="1" applyProtection="1">
      <alignment horizontal="center"/>
      <protection hidden="1"/>
    </xf>
    <xf numFmtId="0" fontId="31" fillId="42" borderId="0" xfId="0" applyNumberFormat="1" applyFont="1" applyFill="1" applyBorder="1" applyAlignment="1" applyProtection="1">
      <alignment/>
      <protection hidden="1"/>
    </xf>
    <xf numFmtId="0" fontId="29" fillId="42" borderId="0" xfId="0" applyNumberFormat="1" applyFont="1" applyFill="1" applyBorder="1" applyAlignment="1" applyProtection="1">
      <alignment horizontal="center"/>
      <protection hidden="1"/>
    </xf>
    <xf numFmtId="0" fontId="18" fillId="42" borderId="0" xfId="0" applyNumberFormat="1" applyFont="1" applyFill="1" applyBorder="1" applyAlignment="1" applyProtection="1">
      <alignment/>
      <protection hidden="1"/>
    </xf>
    <xf numFmtId="0" fontId="33" fillId="42" borderId="0" xfId="0" applyNumberFormat="1" applyFont="1" applyFill="1" applyBorder="1" applyAlignment="1" applyProtection="1">
      <alignment/>
      <protection hidden="1"/>
    </xf>
    <xf numFmtId="0" fontId="28" fillId="42" borderId="0" xfId="0" applyNumberFormat="1" applyFont="1" applyFill="1" applyBorder="1" applyAlignment="1" applyProtection="1">
      <alignment/>
      <protection hidden="1"/>
    </xf>
    <xf numFmtId="0" fontId="34" fillId="42" borderId="0" xfId="0" applyNumberFormat="1" applyFont="1" applyFill="1" applyBorder="1" applyAlignment="1" applyProtection="1">
      <alignment vertical="center"/>
      <protection hidden="1"/>
    </xf>
    <xf numFmtId="0" fontId="1" fillId="42" borderId="0" xfId="0" applyNumberFormat="1" applyFont="1" applyFill="1" applyBorder="1" applyAlignment="1" applyProtection="1">
      <alignment vertical="center"/>
      <protection hidden="1"/>
    </xf>
    <xf numFmtId="0" fontId="26" fillId="42" borderId="0" xfId="0" applyNumberFormat="1" applyFont="1" applyFill="1" applyBorder="1" applyAlignment="1" applyProtection="1">
      <alignment/>
      <protection hidden="1"/>
    </xf>
    <xf numFmtId="0" fontId="35" fillId="42" borderId="16" xfId="0" applyNumberFormat="1" applyFont="1" applyFill="1" applyBorder="1" applyAlignment="1" applyProtection="1">
      <alignment/>
      <protection hidden="1"/>
    </xf>
    <xf numFmtId="0" fontId="36" fillId="42" borderId="16" xfId="0" applyNumberFormat="1" applyFont="1" applyFill="1" applyBorder="1" applyAlignment="1" applyProtection="1">
      <alignment/>
      <protection hidden="1"/>
    </xf>
    <xf numFmtId="0" fontId="37" fillId="42" borderId="16" xfId="0" applyNumberFormat="1" applyFont="1" applyFill="1" applyBorder="1" applyAlignment="1" applyProtection="1">
      <alignment/>
      <protection hidden="1"/>
    </xf>
    <xf numFmtId="0" fontId="38" fillId="42" borderId="16" xfId="0" applyNumberFormat="1" applyFont="1" applyFill="1" applyBorder="1" applyAlignment="1" applyProtection="1">
      <alignment/>
      <protection hidden="1"/>
    </xf>
    <xf numFmtId="0" fontId="27" fillId="42" borderId="0" xfId="0" applyNumberFormat="1" applyFont="1" applyFill="1" applyBorder="1" applyAlignment="1" applyProtection="1">
      <alignment/>
      <protection hidden="1"/>
    </xf>
    <xf numFmtId="0" fontId="40" fillId="28" borderId="0" xfId="0" applyFont="1" applyFill="1" applyAlignment="1">
      <alignment/>
    </xf>
    <xf numFmtId="0" fontId="2" fillId="28" borderId="0" xfId="0" applyFont="1" applyFill="1" applyAlignment="1">
      <alignment/>
    </xf>
    <xf numFmtId="0" fontId="2" fillId="44" borderId="0" xfId="0" applyFont="1" applyFill="1" applyAlignment="1">
      <alignment horizontal="center"/>
    </xf>
    <xf numFmtId="2" fontId="2" fillId="44" borderId="17" xfId="0" applyNumberFormat="1" applyFont="1" applyFill="1" applyBorder="1" applyAlignment="1">
      <alignment/>
    </xf>
    <xf numFmtId="0" fontId="2" fillId="44" borderId="17" xfId="0" applyFont="1" applyFill="1" applyBorder="1" applyAlignment="1">
      <alignment horizontal="center"/>
    </xf>
    <xf numFmtId="0" fontId="2" fillId="28" borderId="0" xfId="44" applyNumberFormat="1" applyBorder="1" applyAlignment="1" applyProtection="1">
      <alignment/>
      <protection/>
    </xf>
    <xf numFmtId="0" fontId="4" fillId="36" borderId="0" xfId="0" applyNumberFormat="1" applyFont="1" applyFill="1" applyBorder="1" applyAlignment="1" applyProtection="1">
      <alignment horizontal="center"/>
      <protection/>
    </xf>
    <xf numFmtId="49" fontId="14" fillId="38" borderId="6" xfId="0" applyNumberFormat="1" applyFont="1" applyFill="1" applyBorder="1" applyAlignment="1" applyProtection="1">
      <alignment vertical="top"/>
      <protection hidden="1"/>
    </xf>
    <xf numFmtId="0" fontId="5" fillId="41" borderId="15" xfId="0" applyNumberFormat="1" applyFont="1" applyFill="1" applyBorder="1" applyAlignment="1" applyProtection="1">
      <alignment horizontal="right"/>
      <protection hidden="1"/>
    </xf>
    <xf numFmtId="0" fontId="5" fillId="41" borderId="15" xfId="0" applyNumberFormat="1" applyFont="1" applyFill="1" applyBorder="1" applyAlignment="1" applyProtection="1">
      <alignment vertical="center"/>
      <protection hidden="1"/>
    </xf>
    <xf numFmtId="0" fontId="21" fillId="42" borderId="0" xfId="0" applyNumberFormat="1" applyFont="1" applyFill="1" applyBorder="1" applyAlignment="1" applyProtection="1">
      <alignment horizontal="center"/>
      <protection hidden="1"/>
    </xf>
    <xf numFmtId="0" fontId="25" fillId="42" borderId="0" xfId="0" applyNumberFormat="1" applyFont="1" applyFill="1" applyBorder="1" applyAlignment="1" applyProtection="1">
      <alignment horizontal="center" vertical="center"/>
      <protection hidden="1"/>
    </xf>
    <xf numFmtId="0" fontId="1" fillId="42" borderId="0" xfId="0" applyNumberFormat="1" applyFont="1" applyFill="1" applyBorder="1" applyAlignment="1" applyProtection="1">
      <alignment horizontal="center"/>
      <protection hidden="1"/>
    </xf>
    <xf numFmtId="0" fontId="26" fillId="42" borderId="0" xfId="0" applyNumberFormat="1" applyFont="1" applyFill="1" applyBorder="1" applyAlignment="1" applyProtection="1">
      <alignment horizontal="center"/>
      <protection hidden="1"/>
    </xf>
    <xf numFmtId="0" fontId="27" fillId="42" borderId="0" xfId="0" applyNumberFormat="1" applyFont="1" applyFill="1" applyBorder="1" applyAlignment="1" applyProtection="1">
      <alignment horizontal="center"/>
      <protection hidden="1"/>
    </xf>
    <xf numFmtId="0" fontId="26" fillId="42" borderId="0" xfId="0" applyNumberFormat="1" applyFont="1" applyFill="1" applyBorder="1" applyAlignment="1" applyProtection="1">
      <alignment horizontal="center" vertical="center"/>
      <protection hidden="1"/>
    </xf>
    <xf numFmtId="164" fontId="28" fillId="42" borderId="0" xfId="0" applyNumberFormat="1" applyFont="1" applyFill="1" applyBorder="1" applyAlignment="1" applyProtection="1">
      <alignment horizontal="center" vertical="center"/>
      <protection hidden="1"/>
    </xf>
    <xf numFmtId="0" fontId="18" fillId="42" borderId="0" xfId="0" applyNumberFormat="1" applyFont="1" applyFill="1" applyBorder="1" applyAlignment="1" applyProtection="1">
      <alignment horizontal="center"/>
      <protection hidden="1"/>
    </xf>
    <xf numFmtId="0" fontId="29" fillId="42" borderId="0" xfId="0" applyNumberFormat="1" applyFont="1" applyFill="1" applyBorder="1" applyAlignment="1" applyProtection="1">
      <alignment vertical="top" wrapText="1"/>
      <protection hidden="1"/>
    </xf>
    <xf numFmtId="0" fontId="29" fillId="42" borderId="0" xfId="0" applyNumberFormat="1" applyFont="1" applyFill="1" applyBorder="1" applyAlignment="1" applyProtection="1">
      <alignment/>
      <protection hidden="1"/>
    </xf>
    <xf numFmtId="0" fontId="18" fillId="42" borderId="0" xfId="0" applyNumberFormat="1" applyFont="1" applyFill="1" applyBorder="1" applyAlignment="1" applyProtection="1">
      <alignment/>
      <protection hidden="1"/>
    </xf>
    <xf numFmtId="0" fontId="32" fillId="42" borderId="0" xfId="0" applyNumberFormat="1" applyFont="1" applyFill="1" applyBorder="1" applyAlignment="1" applyProtection="1">
      <alignment/>
      <protection hidden="1"/>
    </xf>
    <xf numFmtId="0" fontId="33" fillId="42" borderId="0" xfId="0" applyNumberFormat="1" applyFont="1" applyFill="1" applyBorder="1" applyAlignment="1" applyProtection="1">
      <alignment/>
      <protection hidden="1"/>
    </xf>
    <xf numFmtId="0" fontId="39" fillId="42" borderId="0" xfId="0" applyNumberFormat="1" applyFont="1" applyFill="1" applyBorder="1" applyAlignment="1" applyProtection="1">
      <alignment horizontal="center"/>
      <protection hidden="1"/>
    </xf>
    <xf numFmtId="0" fontId="2" fillId="44" borderId="17" xfId="0" applyFont="1" applyFill="1" applyBorder="1" applyAlignment="1">
      <alignment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ndFrmStyl_0_0" xfId="41"/>
    <cellStyle name="Comma" xfId="42"/>
    <cellStyle name="Comma [0]" xfId="43"/>
    <cellStyle name="dunkelrot" xfId="44"/>
    <cellStyle name="Eingabe" xfId="45"/>
    <cellStyle name="Ergebnis" xfId="46"/>
    <cellStyle name="Erklärender Text" xfId="47"/>
    <cellStyle name="Gut" xfId="48"/>
    <cellStyle name="Hinweis" xfId="49"/>
    <cellStyle name="mittelgrün" xfId="50"/>
    <cellStyle name="Neutral" xfId="51"/>
    <cellStyle name="Percent" xfId="52"/>
    <cellStyle name="Schlecht" xfId="53"/>
    <cellStyle name="Titel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dxfs count="8">
    <dxf>
      <font>
        <b val="0"/>
        <sz val="12"/>
      </font>
      <fill>
        <patternFill patternType="solid">
          <fgColor indexed="45"/>
          <bgColor indexed="29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z val="12"/>
        <color indexed="8"/>
      </font>
      <fill>
        <patternFill patternType="solid">
          <fgColor indexed="11"/>
          <bgColor indexed="49"/>
        </patternFill>
      </fill>
      <border>
        <left style="medium">
          <color indexed="49"/>
        </left>
        <right style="medium">
          <color indexed="49"/>
        </right>
        <top style="medium">
          <color indexed="49"/>
        </top>
        <bottom style="medium">
          <color indexed="49"/>
        </bottom>
      </border>
    </dxf>
    <dxf>
      <fill>
        <patternFill patternType="solid">
          <fgColor indexed="34"/>
          <bgColor indexed="1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 val="0"/>
        <i val="0"/>
        <color indexed="8"/>
      </font>
      <fill>
        <patternFill patternType="solid">
          <fgColor indexed="34"/>
          <bgColor indexed="1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 val="0"/>
        <i val="0"/>
        <color rgb="FF000000"/>
      </font>
      <fill>
        <patternFill patternType="solid">
          <fgColor rgb="FFFFFF00"/>
          <bgColor rgb="FFFFFF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 val="0"/>
        <i val="0"/>
        <sz val="12"/>
        <color rgb="FF000000"/>
      </font>
      <fill>
        <patternFill patternType="solid">
          <fgColor rgb="FF3DEB3D"/>
          <bgColor rgb="FF33CC66"/>
        </patternFill>
      </fill>
      <border>
        <left style="medium">
          <color rgb="FF33CC66"/>
        </left>
        <right style="medium">
          <color rgb="FFFFFFFF"/>
        </right>
        <top style="medium"/>
        <bottom style="medium">
          <color rgb="FFFFFFFF"/>
        </bottom>
      </border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3DEB3D"/>
      <rgbColor rgb="000000FF"/>
      <rgbColor rgb="00FFFF00"/>
      <rgbColor rgb="00FF00FF"/>
      <rgbColor rgb="0000B8FF"/>
      <rgbColor rgb="00800000"/>
      <rgbColor rgb="0000AE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E6E6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D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66"/>
      <rgbColor rgb="0099CC00"/>
      <rgbColor rgb="00FFCC00"/>
      <rgbColor rgb="00FF9900"/>
      <rgbColor rgb="00FF6633"/>
      <rgbColor rgb="00666699"/>
      <rgbColor rgb="00969696"/>
      <rgbColor rgb="00003366"/>
      <rgbColor rgb="00339966"/>
      <rgbColor rgb="00003300"/>
      <rgbColor rgb="00355E00"/>
      <rgbColor rgb="00993300"/>
      <rgbColor rgb="00993366"/>
      <rgbColor rgb="002323DC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95"/>
          <c:y val="0.04225"/>
          <c:w val="0.86725"/>
          <c:h val="0.82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Statistik!$B$14</c:f>
              <c:strCache>
                <c:ptCount val="1"/>
                <c:pt idx="0">
                  <c:v>Anzahl:</c:v>
                </c:pt>
              </c:strCache>
            </c:strRef>
          </c:tx>
          <c:spPr>
            <a:solidFill>
              <a:srgbClr val="FF6633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Statistik!$A$15:$A$20</c:f>
              <c:numCache/>
            </c:numRef>
          </c:cat>
          <c:val>
            <c:numRef>
              <c:f>Statistik!$B$15:$B$20</c:f>
              <c:numCache/>
            </c:numRef>
          </c:val>
        </c:ser>
        <c:gapWidth val="100"/>
        <c:axId val="65387914"/>
        <c:axId val="44736515"/>
      </c:barChart>
      <c:catAx>
        <c:axId val="653879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Note</a:t>
                </a:r>
              </a:p>
            </c:rich>
          </c:tx>
          <c:layout>
            <c:manualLayout>
              <c:xMode val="factor"/>
              <c:yMode val="factor"/>
              <c:x val="-0.008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736515"/>
        <c:crossesAt val="0"/>
        <c:auto val="1"/>
        <c:lblOffset val="100"/>
        <c:tickLblSkip val="1"/>
        <c:noMultiLvlLbl val="0"/>
      </c:catAx>
      <c:valAx>
        <c:axId val="447365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Anzahl</a:t>
                </a:r>
              </a:p>
            </c:rich>
          </c:tx>
          <c:layout>
            <c:manualLayout>
              <c:xMode val="factor"/>
              <c:yMode val="factor"/>
              <c:x val="-0.006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387914"/>
        <c:crossesAt val="1"/>
        <c:crossBetween val="between"/>
        <c:dispUnits/>
      </c:valAx>
      <c:spPr>
        <a:solidFill>
          <a:srgbClr val="FFCC99"/>
        </a:solidFill>
        <a:ln w="3175">
          <a:noFill/>
        </a:ln>
      </c:spPr>
    </c:plotArea>
    <c:plotVisOnly val="0"/>
    <c:dispBlanksAs val="gap"/>
    <c:showDLblsOverMax val="0"/>
  </c:chart>
  <c:spPr>
    <a:solidFill>
      <a:srgbClr val="FF9966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0.16575</cdr:x>
      <cdr:y>0.77775</cdr:y>
    </cdr:from>
    <cdr:to>
      <cdr:x>0.166</cdr:x>
      <cdr:y>0.778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447675" y="1924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247650</xdr:colOff>
      <xdr:row>9</xdr:row>
      <xdr:rowOff>180975</xdr:rowOff>
    </xdr:from>
    <xdr:to>
      <xdr:col>7</xdr:col>
      <xdr:colOff>57150</xdr:colOff>
      <xdr:row>22</xdr:row>
      <xdr:rowOff>190500</xdr:rowOff>
    </xdr:to>
    <xdr:graphicFrame>
      <xdr:nvGraphicFramePr>
        <xdr:cNvPr id="1" name="Diagramm 1"/>
        <xdr:cNvGraphicFramePr/>
      </xdr:nvGraphicFramePr>
      <xdr:xfrm>
        <a:off x="1971675" y="1895475"/>
        <a:ext cx="2752725" cy="2486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6"/>
  <sheetViews>
    <sheetView showGridLines="0" workbookViewId="0" topLeftCell="A1">
      <selection activeCell="A13" sqref="A13:B13"/>
    </sheetView>
  </sheetViews>
  <sheetFormatPr defaultColWidth="8.8515625" defaultRowHeight="12.75"/>
  <sheetData>
    <row r="1" spans="1:14" s="2" customFormat="1" ht="15">
      <c r="A1" s="88"/>
      <c r="B1" s="88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s="2" customFormat="1" ht="66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s="2" customFormat="1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s="2" customFormat="1" ht="15">
      <c r="A4" s="1" t="s">
        <v>1</v>
      </c>
      <c r="B4" s="1"/>
      <c r="C4" s="1"/>
      <c r="D4" s="1"/>
      <c r="E4" s="4" t="s">
        <v>2</v>
      </c>
      <c r="F4" s="5"/>
      <c r="G4" s="5"/>
      <c r="H4" s="5"/>
      <c r="I4" s="5"/>
      <c r="J4" s="5"/>
      <c r="K4" s="5"/>
      <c r="L4" s="5"/>
      <c r="M4" s="1"/>
      <c r="N4" s="1"/>
    </row>
    <row r="5" spans="1:14" s="2" customFormat="1" ht="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s="2" customFormat="1" ht="15.75">
      <c r="A6" s="1" t="s">
        <v>3</v>
      </c>
      <c r="B6" s="1"/>
      <c r="C6" s="1"/>
      <c r="D6" s="1"/>
      <c r="E6" s="4" t="s">
        <v>4</v>
      </c>
      <c r="F6" s="6"/>
      <c r="G6" s="6"/>
      <c r="H6" s="6"/>
      <c r="I6" s="6"/>
      <c r="J6" s="6"/>
      <c r="K6" s="6"/>
      <c r="L6" s="6"/>
      <c r="M6" s="1"/>
      <c r="N6" s="1"/>
    </row>
    <row r="7" spans="1:14" s="2" customFormat="1" ht="15.75">
      <c r="A7" s="1"/>
      <c r="B7" s="1"/>
      <c r="C7" s="1"/>
      <c r="D7" s="1"/>
      <c r="E7" s="5" t="s">
        <v>5</v>
      </c>
      <c r="F7" s="6"/>
      <c r="G7" s="6"/>
      <c r="H7" s="6"/>
      <c r="I7" s="6"/>
      <c r="J7" s="6"/>
      <c r="K7" s="6"/>
      <c r="L7" s="6"/>
      <c r="M7" s="1"/>
      <c r="N7" s="1"/>
    </row>
    <row r="8" spans="1:12" s="2" customFormat="1" ht="15.75">
      <c r="A8" s="1"/>
      <c r="B8" s="1"/>
      <c r="C8" s="1"/>
      <c r="D8" s="1"/>
      <c r="E8" s="5"/>
      <c r="F8" s="6"/>
      <c r="G8" s="6"/>
      <c r="H8" s="6"/>
      <c r="I8" s="6"/>
      <c r="J8" s="6"/>
      <c r="K8" s="6"/>
      <c r="L8" s="6"/>
    </row>
    <row r="9" spans="2:12" s="2" customFormat="1" ht="15.75">
      <c r="B9" s="1"/>
      <c r="C9" s="1"/>
      <c r="D9" s="1"/>
      <c r="E9" s="4" t="s">
        <v>6</v>
      </c>
      <c r="F9" s="6"/>
      <c r="G9" s="6"/>
      <c r="H9" s="6"/>
      <c r="I9" s="6"/>
      <c r="J9" s="6"/>
      <c r="K9" s="6"/>
      <c r="L9" s="6"/>
    </row>
    <row r="10" spans="5:12" s="2" customFormat="1" ht="15.75">
      <c r="E10" s="5" t="s">
        <v>7</v>
      </c>
      <c r="F10" s="6"/>
      <c r="G10" s="6"/>
      <c r="H10" s="6"/>
      <c r="I10" s="6"/>
      <c r="J10" s="6"/>
      <c r="K10" s="6"/>
      <c r="L10" s="6"/>
    </row>
    <row r="11" spans="5:12" s="2" customFormat="1" ht="15.75">
      <c r="E11" s="5" t="s">
        <v>8</v>
      </c>
      <c r="F11" s="6"/>
      <c r="G11" s="6"/>
      <c r="H11" s="6"/>
      <c r="I11" s="6"/>
      <c r="J11" s="6"/>
      <c r="K11" s="6"/>
      <c r="L11" s="6"/>
    </row>
    <row r="12" spans="5:12" s="2" customFormat="1" ht="15.75">
      <c r="E12" s="6"/>
      <c r="F12" s="6"/>
      <c r="G12" s="6"/>
      <c r="H12" s="6"/>
      <c r="I12" s="6"/>
      <c r="J12" s="6"/>
      <c r="K12" s="6"/>
      <c r="L12" s="6"/>
    </row>
    <row r="13" spans="1:12" s="2" customFormat="1" ht="15">
      <c r="A13" s="88"/>
      <c r="B13" s="88"/>
      <c r="C13" s="7"/>
      <c r="E13" s="4" t="s">
        <v>9</v>
      </c>
      <c r="F13" s="5"/>
      <c r="G13" s="5"/>
      <c r="H13" s="5"/>
      <c r="I13" s="5"/>
      <c r="J13" s="5"/>
      <c r="K13" s="5"/>
      <c r="L13" s="5"/>
    </row>
    <row r="14" spans="1:12" s="2" customFormat="1" ht="15">
      <c r="A14" s="88"/>
      <c r="B14" s="88"/>
      <c r="E14" s="5" t="s">
        <v>10</v>
      </c>
      <c r="F14" s="5"/>
      <c r="G14" s="5"/>
      <c r="H14" s="5"/>
      <c r="I14" s="5"/>
      <c r="J14" s="5"/>
      <c r="K14" s="5"/>
      <c r="L14" s="5"/>
    </row>
    <row r="15" spans="5:12" s="2" customFormat="1" ht="15.75">
      <c r="E15" s="6"/>
      <c r="F15" s="5"/>
      <c r="G15" s="5"/>
      <c r="H15" s="5"/>
      <c r="I15" s="5"/>
      <c r="J15" s="5"/>
      <c r="K15" s="5"/>
      <c r="L15" s="5"/>
    </row>
    <row r="16" spans="5:12" s="2" customFormat="1" ht="15">
      <c r="E16" s="4" t="s">
        <v>11</v>
      </c>
      <c r="F16" s="5"/>
      <c r="G16" s="5"/>
      <c r="H16" s="5"/>
      <c r="I16" s="5"/>
      <c r="J16" s="5"/>
      <c r="K16" s="5"/>
      <c r="L16" s="5"/>
    </row>
    <row r="17" spans="5:12" s="2" customFormat="1" ht="15">
      <c r="E17" s="5" t="s">
        <v>12</v>
      </c>
      <c r="F17" s="5"/>
      <c r="G17" s="5"/>
      <c r="H17" s="5"/>
      <c r="I17" s="5"/>
      <c r="J17" s="5"/>
      <c r="K17" s="5"/>
      <c r="L17" s="5"/>
    </row>
    <row r="18" spans="5:12" s="2" customFormat="1" ht="15.75">
      <c r="E18" s="6"/>
      <c r="F18" s="5"/>
      <c r="G18" s="5"/>
      <c r="H18" s="5"/>
      <c r="I18" s="5"/>
      <c r="J18" s="5"/>
      <c r="K18" s="5"/>
      <c r="L18" s="5"/>
    </row>
    <row r="19" spans="5:12" s="2" customFormat="1" ht="15">
      <c r="E19" s="4" t="s">
        <v>13</v>
      </c>
      <c r="F19" s="5"/>
      <c r="G19" s="5"/>
      <c r="H19" s="5"/>
      <c r="I19" s="5"/>
      <c r="J19" s="5"/>
      <c r="K19" s="5"/>
      <c r="L19" s="5"/>
    </row>
    <row r="20" spans="5:12" s="2" customFormat="1" ht="15">
      <c r="E20" s="5" t="s">
        <v>14</v>
      </c>
      <c r="F20" s="5"/>
      <c r="G20" s="5"/>
      <c r="H20" s="5"/>
      <c r="I20" s="5"/>
      <c r="J20" s="5"/>
      <c r="K20" s="5"/>
      <c r="L20" s="5"/>
    </row>
    <row r="21" spans="5:12" s="2" customFormat="1" ht="15">
      <c r="E21" s="5"/>
      <c r="F21" s="5"/>
      <c r="G21" s="5"/>
      <c r="H21" s="5"/>
      <c r="I21" s="5"/>
      <c r="J21" s="5"/>
      <c r="K21" s="5"/>
      <c r="L21" s="5"/>
    </row>
    <row r="22" spans="5:12" s="2" customFormat="1" ht="15">
      <c r="E22" s="4" t="s">
        <v>15</v>
      </c>
      <c r="F22" s="5"/>
      <c r="G22" s="5"/>
      <c r="H22" s="5"/>
      <c r="I22" s="5"/>
      <c r="J22" s="5"/>
      <c r="K22" s="5"/>
      <c r="L22" s="5"/>
    </row>
    <row r="23" spans="5:12" s="2" customFormat="1" ht="15">
      <c r="E23" s="5" t="s">
        <v>16</v>
      </c>
      <c r="F23" s="5"/>
      <c r="G23" s="5"/>
      <c r="H23" s="5"/>
      <c r="I23" s="5"/>
      <c r="J23" s="5"/>
      <c r="K23" s="5"/>
      <c r="L23" s="5"/>
    </row>
    <row r="24" spans="5:12" s="2" customFormat="1" ht="15">
      <c r="E24" s="5" t="s">
        <v>17</v>
      </c>
      <c r="F24" s="5"/>
      <c r="G24" s="5"/>
      <c r="H24" s="5"/>
      <c r="I24" s="5"/>
      <c r="J24" s="5"/>
      <c r="K24" s="5"/>
      <c r="L24" s="5"/>
    </row>
    <row r="25" spans="5:12" s="2" customFormat="1" ht="15">
      <c r="E25" s="5" t="s">
        <v>18</v>
      </c>
      <c r="F25" s="5"/>
      <c r="G25" s="5"/>
      <c r="H25" s="5"/>
      <c r="I25" s="5"/>
      <c r="J25" s="5"/>
      <c r="K25" s="5"/>
      <c r="L25" s="5"/>
    </row>
    <row r="26" spans="5:12" s="2" customFormat="1" ht="15">
      <c r="E26" s="5" t="s">
        <v>19</v>
      </c>
      <c r="F26" s="5"/>
      <c r="G26" s="5"/>
      <c r="H26" s="5"/>
      <c r="I26" s="5"/>
      <c r="J26" s="5"/>
      <c r="K26" s="5"/>
      <c r="L26" s="5"/>
    </row>
    <row r="27" s="2" customFormat="1" ht="15"/>
    <row r="28" s="2" customFormat="1" ht="15"/>
    <row r="29" s="2" customFormat="1" ht="15"/>
    <row r="30" s="2" customFormat="1" ht="15"/>
    <row r="31" s="2" customFormat="1" ht="15"/>
    <row r="32" s="2" customFormat="1" ht="15"/>
    <row r="33" s="2" customFormat="1" ht="15"/>
    <row r="34" s="2" customFormat="1" ht="15"/>
    <row r="35" s="2" customFormat="1" ht="15"/>
    <row r="36" s="2" customFormat="1" ht="15"/>
    <row r="37" s="2" customFormat="1" ht="15"/>
    <row r="38" s="2" customFormat="1" ht="15"/>
    <row r="39" s="2" customFormat="1" ht="15"/>
    <row r="40" s="2" customFormat="1" ht="15"/>
    <row r="41" s="2" customFormat="1" ht="15"/>
    <row r="42" s="2" customFormat="1" ht="15"/>
    <row r="43" s="2" customFormat="1" ht="15"/>
    <row r="44" s="2" customFormat="1" ht="15"/>
    <row r="45" s="2" customFormat="1" ht="15"/>
    <row r="46" s="2" customFormat="1" ht="15"/>
    <row r="47" s="2" customFormat="1" ht="15"/>
    <row r="48" s="2" customFormat="1" ht="15"/>
    <row r="49" s="2" customFormat="1" ht="15"/>
    <row r="50" s="2" customFormat="1" ht="15"/>
    <row r="51" s="2" customFormat="1" ht="15"/>
    <row r="52" s="2" customFormat="1" ht="15"/>
    <row r="53" s="2" customFormat="1" ht="15"/>
    <row r="54" s="2" customFormat="1" ht="15"/>
    <row r="55" s="2" customFormat="1" ht="15"/>
    <row r="56" s="2" customFormat="1" ht="15"/>
    <row r="57" s="2" customFormat="1" ht="15"/>
    <row r="58" s="2" customFormat="1" ht="15"/>
    <row r="59" s="2" customFormat="1" ht="15"/>
    <row r="60" s="2" customFormat="1" ht="15"/>
    <row r="61" s="2" customFormat="1" ht="15"/>
    <row r="62" s="2" customFormat="1" ht="15"/>
    <row r="63" s="2" customFormat="1" ht="15"/>
    <row r="64" s="2" customFormat="1" ht="15"/>
    <row r="65" s="2" customFormat="1" ht="15"/>
    <row r="66" s="2" customFormat="1" ht="15"/>
    <row r="67" s="2" customFormat="1" ht="15"/>
    <row r="68" s="2" customFormat="1" ht="15"/>
    <row r="69" s="2" customFormat="1" ht="15"/>
    <row r="70" s="2" customFormat="1" ht="15"/>
    <row r="71" s="2" customFormat="1" ht="15"/>
    <row r="72" s="2" customFormat="1" ht="15"/>
    <row r="73" s="2" customFormat="1" ht="15"/>
    <row r="74" s="2" customFormat="1" ht="15"/>
    <row r="75" s="2" customFormat="1" ht="15"/>
    <row r="76" s="2" customFormat="1" ht="15"/>
    <row r="77" s="2" customFormat="1" ht="15"/>
    <row r="78" s="2" customFormat="1" ht="15"/>
    <row r="79" s="2" customFormat="1" ht="15"/>
    <row r="80" s="2" customFormat="1" ht="15"/>
    <row r="81" s="2" customFormat="1" ht="15"/>
    <row r="82" s="2" customFormat="1" ht="15"/>
    <row r="83" s="2" customFormat="1" ht="15"/>
    <row r="84" s="2" customFormat="1" ht="15"/>
    <row r="85" s="2" customFormat="1" ht="15"/>
    <row r="86" s="2" customFormat="1" ht="15"/>
    <row r="87" s="2" customFormat="1" ht="15"/>
    <row r="88" s="2" customFormat="1" ht="15"/>
    <row r="89" s="2" customFormat="1" ht="15"/>
    <row r="90" s="2" customFormat="1" ht="15"/>
    <row r="91" s="2" customFormat="1" ht="15"/>
    <row r="92" s="2" customFormat="1" ht="15"/>
    <row r="93" s="2" customFormat="1" ht="15"/>
    <row r="94" s="2" customFormat="1" ht="15"/>
    <row r="95" s="2" customFormat="1" ht="15"/>
    <row r="96" s="2" customFormat="1" ht="15"/>
    <row r="97" s="2" customFormat="1" ht="15"/>
    <row r="98" s="2" customFormat="1" ht="15"/>
    <row r="99" s="2" customFormat="1" ht="15"/>
    <row r="100" s="2" customFormat="1" ht="15"/>
    <row r="101" s="2" customFormat="1" ht="15"/>
    <row r="102" s="2" customFormat="1" ht="15"/>
    <row r="103" s="2" customFormat="1" ht="15"/>
    <row r="104" s="2" customFormat="1" ht="15"/>
    <row r="105" s="2" customFormat="1" ht="15"/>
    <row r="106" s="2" customFormat="1" ht="15"/>
    <row r="107" s="2" customFormat="1" ht="15"/>
    <row r="108" s="2" customFormat="1" ht="15"/>
    <row r="109" s="2" customFormat="1" ht="15"/>
    <row r="110" s="2" customFormat="1" ht="15"/>
    <row r="111" s="2" customFormat="1" ht="15"/>
    <row r="112" s="2" customFormat="1" ht="15"/>
    <row r="113" s="2" customFormat="1" ht="15"/>
    <row r="114" s="2" customFormat="1" ht="15"/>
    <row r="115" s="2" customFormat="1" ht="15"/>
    <row r="116" s="2" customFormat="1" ht="15"/>
    <row r="117" s="2" customFormat="1" ht="15"/>
    <row r="118" s="2" customFormat="1" ht="15"/>
    <row r="119" s="2" customFormat="1" ht="15"/>
    <row r="120" s="2" customFormat="1" ht="15"/>
    <row r="121" s="2" customFormat="1" ht="15"/>
    <row r="122" s="2" customFormat="1" ht="15"/>
    <row r="123" s="2" customFormat="1" ht="15"/>
    <row r="124" s="2" customFormat="1" ht="15"/>
    <row r="125" s="2" customFormat="1" ht="15"/>
    <row r="126" s="2" customFormat="1" ht="15"/>
    <row r="127" s="2" customFormat="1" ht="15"/>
    <row r="128" s="2" customFormat="1" ht="15"/>
    <row r="129" s="2" customFormat="1" ht="15"/>
    <row r="130" s="2" customFormat="1" ht="15"/>
    <row r="131" s="2" customFormat="1" ht="15"/>
    <row r="132" s="2" customFormat="1" ht="15"/>
    <row r="133" s="2" customFormat="1" ht="15"/>
    <row r="134" s="2" customFormat="1" ht="15"/>
    <row r="135" s="2" customFormat="1" ht="15"/>
    <row r="136" s="2" customFormat="1" ht="15"/>
    <row r="137" s="2" customFormat="1" ht="15"/>
    <row r="138" s="2" customFormat="1" ht="15"/>
    <row r="139" s="2" customFormat="1" ht="15"/>
    <row r="140" s="2" customFormat="1" ht="15"/>
    <row r="141" s="2" customFormat="1" ht="15"/>
    <row r="142" s="2" customFormat="1" ht="15"/>
    <row r="143" s="2" customFormat="1" ht="15"/>
    <row r="144" s="2" customFormat="1" ht="15"/>
    <row r="145" s="2" customFormat="1" ht="15"/>
    <row r="146" s="2" customFormat="1" ht="15"/>
    <row r="147" s="2" customFormat="1" ht="15"/>
    <row r="148" s="2" customFormat="1" ht="15"/>
    <row r="149" s="2" customFormat="1" ht="15"/>
    <row r="150" s="2" customFormat="1" ht="15"/>
    <row r="151" s="2" customFormat="1" ht="15"/>
  </sheetData>
  <sheetProtection selectLockedCells="1" selectUnlockedCells="1"/>
  <mergeCells count="3">
    <mergeCell ref="A1:B1"/>
    <mergeCell ref="A13:B13"/>
    <mergeCell ref="A14:B14"/>
  </mergeCell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183"/>
  <sheetViews>
    <sheetView showGridLines="0" workbookViewId="0" topLeftCell="A12">
      <selection activeCell="C45" sqref="C45"/>
    </sheetView>
  </sheetViews>
  <sheetFormatPr defaultColWidth="11.00390625" defaultRowHeight="12.75"/>
  <cols>
    <col min="1" max="1" width="33.28125" style="0" customWidth="1"/>
    <col min="2" max="2" width="24.8515625" style="0" customWidth="1"/>
    <col min="3" max="3" width="12.140625" style="0" customWidth="1"/>
    <col min="4" max="4" width="15.00390625" style="0" customWidth="1"/>
    <col min="5" max="5" width="13.140625" style="0" customWidth="1"/>
    <col min="6" max="6" width="19.28125" style="0" customWidth="1"/>
  </cols>
  <sheetData>
    <row r="1" spans="1:256" s="9" customFormat="1" ht="15">
      <c r="A1" s="8" t="s">
        <v>20</v>
      </c>
      <c r="C1" s="10">
        <f>D1-1</f>
        <v>3</v>
      </c>
      <c r="D1" s="10">
        <f>IF(MID(B5,4,1)="",4,D2)</f>
        <v>4</v>
      </c>
      <c r="E1" s="10"/>
      <c r="F1" s="10"/>
      <c r="G1" s="11"/>
      <c r="H1" s="11"/>
      <c r="IS1" s="12"/>
      <c r="IT1" s="12"/>
      <c r="IU1"/>
      <c r="IV1"/>
    </row>
    <row r="2" spans="3:256" s="9" customFormat="1" ht="7.5" customHeight="1">
      <c r="C2" s="10">
        <f>IF($C$1=4,MID($B$5,1,1)&amp;" "&amp;MID($B$5,2,1)&amp;" "&amp;MID($B$5,3,1)&amp;" "&amp;MID($B$5,4,1),C3)</f>
        <v>0</v>
      </c>
      <c r="D2" s="10">
        <f>IF(MID(B5,5,1)="",5,D3)</f>
        <v>5</v>
      </c>
      <c r="E2" s="10"/>
      <c r="F2" s="10"/>
      <c r="G2" s="11"/>
      <c r="H2" s="11"/>
      <c r="IS2" s="12"/>
      <c r="IT2" s="12"/>
      <c r="IU2"/>
      <c r="IV2"/>
    </row>
    <row r="3" spans="1:256" s="9" customFormat="1" ht="15">
      <c r="A3" s="13" t="s">
        <v>21</v>
      </c>
      <c r="B3" s="14"/>
      <c r="C3" s="10">
        <f>IF($C$1=5,MID($B$5,1,1)&amp;" "&amp;MID($B$5,2,1)&amp;" "&amp;MID($B$5,3,1)&amp;" "&amp;MID($B$5,4,1)&amp;" "&amp;MID($B$5,5,1),C4)</f>
        <v>0</v>
      </c>
      <c r="D3" s="10">
        <f>IF(MID(B5,6,1)="",6,D4)</f>
        <v>6</v>
      </c>
      <c r="E3" s="10"/>
      <c r="F3" s="10"/>
      <c r="G3" s="11"/>
      <c r="H3" s="11"/>
      <c r="IS3" s="12"/>
      <c r="IT3" s="12"/>
      <c r="IU3"/>
      <c r="IV3"/>
    </row>
    <row r="4" spans="1:256" s="9" customFormat="1" ht="15">
      <c r="A4" s="13" t="s">
        <v>22</v>
      </c>
      <c r="B4" s="14"/>
      <c r="C4" s="10">
        <f>IF($C$1=6,MID($B$5,1,1)&amp;" "&amp;MID($B$5,2,1)&amp;" "&amp;MID($B$5,3,1)&amp;" "&amp;MID($B$5,4,1)&amp;" "&amp;MID($B$5,5,1)&amp;" "&amp;MID($B$5,6,1),C5)</f>
        <v>0</v>
      </c>
      <c r="D4" s="10">
        <f>IF(MID(B5,7,1)="",7,D5)</f>
        <v>7</v>
      </c>
      <c r="E4" s="10"/>
      <c r="F4" s="10"/>
      <c r="G4" s="11"/>
      <c r="H4" s="11"/>
      <c r="IS4" s="12"/>
      <c r="IT4" s="12"/>
      <c r="IU4"/>
      <c r="IV4"/>
    </row>
    <row r="5" spans="1:256" s="9" customFormat="1" ht="15">
      <c r="A5" s="13" t="s">
        <v>23</v>
      </c>
      <c r="B5" s="14"/>
      <c r="C5" s="10">
        <f>IF($C$1=7,MID($B$5,1,1)&amp;" "&amp;MID($B$5,2,1)&amp;" "&amp;MID($B$5,3,1)&amp;" "&amp;MID($B$5,4,1)&amp;" "&amp;MID($B$5,5,1)&amp;" "&amp;MID($B$5,6,1)&amp;" "&amp;MID($B$5,7,1),C6)</f>
        <v>0</v>
      </c>
      <c r="D5" s="10">
        <f>IF(MID(B5,8,1)="",8,D6)</f>
        <v>8</v>
      </c>
      <c r="E5" s="10"/>
      <c r="F5" s="10"/>
      <c r="G5" s="11"/>
      <c r="H5" s="11"/>
      <c r="IS5" s="12"/>
      <c r="IT5" s="12"/>
      <c r="IU5"/>
      <c r="IV5"/>
    </row>
    <row r="6" spans="1:256" s="9" customFormat="1" ht="15" customHeight="1">
      <c r="A6" s="13" t="s">
        <v>24</v>
      </c>
      <c r="B6" s="14"/>
      <c r="C6" s="10">
        <f>IF($C$1=8,MID($B$5,1,1)&amp;" "&amp;MID($B$5,2,1)&amp;" "&amp;MID($B$5,3,1)&amp;" "&amp;MID($B$5,4,1)&amp;" "&amp;MID($B$5,5,1)&amp;" "&amp;MID($B$5,6,1)&amp;" "&amp;MID($B$5,7,1)&amp;" "&amp;MID($B$5,8,1),C7)</f>
        <v>0</v>
      </c>
      <c r="D6" s="10">
        <f>IF(MID(B5,9,1)="",9,D7)</f>
        <v>9</v>
      </c>
      <c r="E6" s="10"/>
      <c r="F6" s="10" t="str">
        <f>IF(B24="Jahreszeugnis","","z")</f>
        <v>z</v>
      </c>
      <c r="G6" s="11"/>
      <c r="H6" s="11"/>
      <c r="I6" s="15"/>
      <c r="IS6" s="12"/>
      <c r="IT6" s="12"/>
      <c r="IU6"/>
      <c r="IV6"/>
    </row>
    <row r="7" spans="1:256" s="9" customFormat="1" ht="15" customHeight="1">
      <c r="A7" s="13" t="s">
        <v>25</v>
      </c>
      <c r="B7" s="14"/>
      <c r="C7" s="10">
        <f>IF($C$1=9,MID($B$5,1,1)&amp;" "&amp;MID($B$5,2,1)&amp;" "&amp;MID($B$5,3,1)&amp;" "&amp;MID($B$5,4,1)&amp;" "&amp;MID($B$5,5,1)&amp;" "&amp;MID($B$5,6,1)&amp;" "&amp;MID($B$5,7,1)&amp;" "&amp;MID($B$5,8,1)&amp;" "&amp;MID($B$5,9,1),C8)</f>
        <v>0</v>
      </c>
      <c r="D7" s="10">
        <f>IF(MID(B5,10,1)="",10,D8)</f>
        <v>10</v>
      </c>
      <c r="E7" s="10">
        <f>IF(MID(B5,19,1)="",19,0)</f>
        <v>19</v>
      </c>
      <c r="F7" s="10"/>
      <c r="G7" s="11"/>
      <c r="H7" s="11"/>
      <c r="IS7" s="12"/>
      <c r="IT7" s="12"/>
      <c r="IU7"/>
      <c r="IV7"/>
    </row>
    <row r="8" spans="1:256" s="9" customFormat="1" ht="15" customHeight="1">
      <c r="A8" s="13" t="s">
        <v>26</v>
      </c>
      <c r="B8" s="14"/>
      <c r="C8" s="10">
        <f>IF($C$1=10,MID($B$5,1,1)&amp;" "&amp;MID($B$5,2,1)&amp;" "&amp;MID($B$5,3,1)&amp;" "&amp;MID($B$5,4,1)&amp;" "&amp;MID($B$5,5,1)&amp;" "&amp;MID($B$5,6,1)&amp;" "&amp;MID($B$5,7,1)&amp;" "&amp;MID($B$5,8,1)&amp;" "&amp;MID($B$5,9,1)&amp;" "&amp;MID($B$5,10,1),C9)</f>
        <v>0</v>
      </c>
      <c r="D8" s="10">
        <f>IF(MID(B5,11,1)="",11,D9)</f>
        <v>11</v>
      </c>
      <c r="E8" s="10">
        <f>IF(MID(B5,18,1)="",18,E7)</f>
        <v>18</v>
      </c>
      <c r="F8" s="10"/>
      <c r="G8" s="11"/>
      <c r="H8" s="11"/>
      <c r="IS8" s="12"/>
      <c r="IT8" s="12"/>
      <c r="IU8"/>
      <c r="IV8"/>
    </row>
    <row r="9" spans="1:256" s="9" customFormat="1" ht="15">
      <c r="A9" s="13" t="s">
        <v>27</v>
      </c>
      <c r="B9" s="14"/>
      <c r="C9" s="10">
        <f>IF($C$1=11,MID($B$5,1,1)&amp;" "&amp;MID($B$5,2,1)&amp;" "&amp;MID($B$5,3,1)&amp;" "&amp;MID($B$5,4,1)&amp;" "&amp;MID($B$5,5,1)&amp;" "&amp;MID($B$5,6,1)&amp;" "&amp;MID($B$5,7,1)&amp;" "&amp;MID($B$5,8,1)&amp;" "&amp;MID($B$5,9,1)&amp;" "&amp;MID($B$5,10,1)&amp;" "&amp;MID($B$5,11,1),C10)</f>
        <v>0</v>
      </c>
      <c r="D9" s="10">
        <f>IF(MID(B5,12,1)="",12,D10)</f>
        <v>12</v>
      </c>
      <c r="E9" s="10">
        <f>IF(MID(B5,17,1)="",17,E8)</f>
        <v>17</v>
      </c>
      <c r="F9" s="10"/>
      <c r="G9" s="11"/>
      <c r="H9" s="11"/>
      <c r="IS9" s="12"/>
      <c r="IT9" s="12"/>
      <c r="IU9"/>
      <c r="IV9"/>
    </row>
    <row r="10" spans="1:256" s="9" customFormat="1" ht="15">
      <c r="A10" s="13" t="s">
        <v>28</v>
      </c>
      <c r="B10" s="14"/>
      <c r="C10" s="10">
        <f>IF($C$1=12,MID($B$5,1,1)&amp;" "&amp;MID($B$5,2,1)&amp;" "&amp;MID($B$5,3,1)&amp;" "&amp;MID($B$5,4,1)&amp;" "&amp;MID($B$5,5,1)&amp;" "&amp;MID($B$5,6,1)&amp;" "&amp;MID($B$5,7,1)&amp;" "&amp;MID($B$5,8,1)&amp;" "&amp;MID($B$5,9,1)&amp;" "&amp;MID($B$5,10,1)&amp;" "&amp;MID($B$5,11,1)&amp;" "&amp;MID($B$5,12,1),C11)</f>
        <v>0</v>
      </c>
      <c r="D10" s="10">
        <f>IF(MID(B5,13,1)="",13,D11)</f>
        <v>13</v>
      </c>
      <c r="E10" s="10">
        <f>IF(MID(B5,16,1)="",16,E9)</f>
        <v>16</v>
      </c>
      <c r="F10" s="10"/>
      <c r="G10" s="11"/>
      <c r="H10" s="11"/>
      <c r="IS10" s="12"/>
      <c r="IT10" s="12"/>
      <c r="IU10"/>
      <c r="IV10"/>
    </row>
    <row r="11" spans="1:256" s="9" customFormat="1" ht="15">
      <c r="A11" s="13" t="s">
        <v>29</v>
      </c>
      <c r="B11" s="14"/>
      <c r="C11" s="10">
        <f>IF($C$1=13,MID($B$5,1,1)&amp;" "&amp;MID($B$5,2,1)&amp;" "&amp;MID($B$5,3,1)&amp;" "&amp;MID($B$5,4,1)&amp;" "&amp;MID($B$5,5,1)&amp;" "&amp;MID($B$5,6,1)&amp;" "&amp;MID($B$5,7,1)&amp;" "&amp;MID($B$5,8,1)&amp;" "&amp;MID($B$5,9,1)&amp;" "&amp;MID($B$5,10,1)&amp;" "&amp;MID($B$5,11,1)&amp;" "&amp;MID($B$5,12,1)&amp;" "&amp;MID($B$5,13,1),IF($C$1=14,MID($B$5,1,1)&amp;" "&amp;MID($B$5,2,1)&amp;" "&amp;MID($B$5,3,1)&amp;" "&amp;MID($B$5,4,1)&amp;" "&amp;MID($B$5,5,1)&amp;" "&amp;MID($B$5,6,1)&amp;" "&amp;MID($B$5,7,1)&amp;" "&amp;MID($B$5,8,1)&amp;" "&amp;MID($B$5,9,1)&amp;" "&amp;MID($B$5,10,1)&amp;" "&amp;MID($B$5,11,1)&amp;" "&amp;MID($B$5,12,1)&amp;" "&amp;MID($B$5,13,1)&amp;" "&amp;MID($B$5,14,1),C15))</f>
        <v>0</v>
      </c>
      <c r="D11" s="10">
        <f>IF(MID(B5,14,1)="",14,E11)</f>
        <v>14</v>
      </c>
      <c r="E11" s="10">
        <f>IF(MID(B5,15,1)="",15,E10)</f>
        <v>15</v>
      </c>
      <c r="F11" s="10"/>
      <c r="G11" s="11"/>
      <c r="H11" s="11"/>
      <c r="IS11" s="12"/>
      <c r="IT11" s="12"/>
      <c r="IU11"/>
      <c r="IV11"/>
    </row>
    <row r="12" spans="1:256" s="9" customFormat="1" ht="15">
      <c r="A12" s="13" t="s">
        <v>30</v>
      </c>
      <c r="B12" s="14"/>
      <c r="C12" s="16" t="s">
        <v>21</v>
      </c>
      <c r="D12" s="16" t="s">
        <v>23</v>
      </c>
      <c r="E12" s="16" t="s">
        <v>31</v>
      </c>
      <c r="F12" s="11"/>
      <c r="G12" s="17"/>
      <c r="H12" s="11"/>
      <c r="IS12" s="12"/>
      <c r="IT12" s="12"/>
      <c r="IU12"/>
      <c r="IV12"/>
    </row>
    <row r="13" spans="1:256" s="9" customFormat="1" ht="15">
      <c r="A13" s="13" t="s">
        <v>32</v>
      </c>
      <c r="B13" s="14"/>
      <c r="C13" s="14"/>
      <c r="D13" s="14"/>
      <c r="E13" s="14"/>
      <c r="F13" s="11"/>
      <c r="H13" s="11"/>
      <c r="IS13" s="12"/>
      <c r="IT13" s="12"/>
      <c r="IU13"/>
      <c r="IV13"/>
    </row>
    <row r="14" spans="1:256" s="9" customFormat="1" ht="15">
      <c r="A14" s="13" t="s">
        <v>33</v>
      </c>
      <c r="B14" s="14"/>
      <c r="C14" s="14"/>
      <c r="D14" s="14"/>
      <c r="E14" s="14"/>
      <c r="F14" s="11"/>
      <c r="H14" s="11"/>
      <c r="IS14" s="12"/>
      <c r="IT14" s="12"/>
      <c r="IU14"/>
      <c r="IV14"/>
    </row>
    <row r="15" spans="1:256" s="9" customFormat="1" ht="15">
      <c r="A15" s="18" t="s">
        <v>34</v>
      </c>
      <c r="B15" s="14"/>
      <c r="C15" s="10">
        <f>IF($C$1=15,MID($B$5,1,1)&amp;" "&amp;MID($B$5,2,1)&amp;" "&amp;MID($B$5,3,1)&amp;" "&amp;MID($B$5,4,1)&amp;" "&amp;MID($B$5,5,1)&amp;" "&amp;MID($B$5,6,1)&amp;" "&amp;MID($B$5,7,1)&amp;" "&amp;MID($B$5,8,1)&amp;" "&amp;MID($B$5,9,1)&amp;" "&amp;MID($B$5,10,1)&amp;" "&amp;MID($B$5,11,1)&amp;" "&amp;MID($B$5,12,1)&amp;" "&amp;MID($B$5,13,1)&amp;" "&amp;MID($B$5,14,1)&amp;" "&amp;MID($B$5,15,1),IF($C$1=16,MID($B$5,1,1)&amp;" "&amp;MID($B$5,2,1)&amp;" "&amp;MID($B$5,3,1)&amp;" "&amp;MID($B$5,4,1)&amp;" "&amp;MID($B$5,5,1)&amp;" "&amp;MID($B$5,6,1)&amp;" "&amp;MID($B$5,7,1)&amp;" "&amp;MID($B$5,8,1)&amp;" "&amp;MID($B$5,9,1)&amp;" "&amp;MID($B$5,10,1)&amp;" "&amp;MID($B$5,11,1)&amp;" "&amp;MID($B$5,12,1)&amp;" "&amp;MID($B$5,13,1)&amp;" "&amp;MID($B$5,14,1)&amp;" "&amp;MID($B$5,15,1)&amp;" "&amp;MID($B$5,16,1),C16))</f>
        <v>0</v>
      </c>
      <c r="D15" s="19"/>
      <c r="E15" s="19"/>
      <c r="F15" s="19"/>
      <c r="G15" s="20"/>
      <c r="H15" s="20"/>
      <c r="I15" s="20"/>
      <c r="IS15" s="12"/>
      <c r="IT15" s="12"/>
      <c r="IU15"/>
      <c r="IV15"/>
    </row>
    <row r="16" spans="1:256" s="9" customFormat="1" ht="15">
      <c r="A16" s="18"/>
      <c r="B16" s="14"/>
      <c r="C16" s="21">
        <f>IF($C$1=17,MID($B$5,1,1)&amp;" "&amp;MID($B$5,2,1)&amp;" "&amp;MID($B$5,3,1)&amp;" "&amp;MID($B$5,4,1)&amp;" "&amp;MID($B$5,5,1)&amp;" "&amp;MID($B$5,6,1)&amp;" "&amp;MID($B$5,7,1)&amp;" "&amp;MID($B$5,8,1)&amp;" "&amp;MID($B$5,9,1)&amp;" "&amp;MID($B$5,10,1)&amp;" "&amp;MID($B$5,11,1)&amp;" "&amp;MID($B$5,12,1)&amp;" "&amp;MID($B$5,13,1)&amp;" "&amp;MID($B$5,14,1)&amp;" "&amp;MID($B$5,15,1)&amp;" "&amp;MID($B$5,16,1)&amp;" "&amp;MID($B$5,17,1),IF($C$1=18,MID($B$5,1,1)&amp;" "&amp;MID($B$5,2,1)&amp;" "&amp;MID($B$5,3,1)&amp;" "&amp;MID($B$5,4,1)&amp;" "&amp;MID($B$5,5,1)&amp;" "&amp;MID($B$5,6,1)&amp;" "&amp;MID($B$5,7,1)&amp;" "&amp;MID($B$5,8,1)&amp;" "&amp;MID($B$5,9,1)&amp;" "&amp;MID($B$5,10,1)&amp;" "&amp;MID($B$5,11,1)&amp;" "&amp;MID($B$5,12,1)&amp;" "&amp;MID($B$5,13,1)&amp;" "&amp;MID($B$5,14,1)&amp;" "&amp;MID($B$5,15,1)&amp;" "&amp;MID($B$5,16,1)&amp;" "&amp;MID($B$5,17,1)&amp;" "&amp;MID($B$5,18,1),C17))</f>
        <v>0</v>
      </c>
      <c r="D16" s="19"/>
      <c r="E16" s="19"/>
      <c r="F16" s="10">
        <f>COUNTA(B15:B17)</f>
        <v>0</v>
      </c>
      <c r="G16" s="20"/>
      <c r="H16" s="20"/>
      <c r="I16" s="20"/>
      <c r="IS16" s="12"/>
      <c r="IT16" s="12"/>
      <c r="IU16"/>
      <c r="IV16"/>
    </row>
    <row r="17" spans="1:256" s="9" customFormat="1" ht="15">
      <c r="A17" s="18"/>
      <c r="B17" s="14"/>
      <c r="C17" s="10">
        <f>IF(OR(AND(Optionen!F6="z",Optionen!D32="zahl")),SUBSTITUTE(D17,1,Optionen!B32,D17),D17)</f>
        <v>0</v>
      </c>
      <c r="D17" s="10"/>
      <c r="E17" s="10"/>
      <c r="F17" s="10"/>
      <c r="G17" s="20"/>
      <c r="H17" s="20"/>
      <c r="I17" s="20"/>
      <c r="IS17" s="12"/>
      <c r="IT17" s="12"/>
      <c r="IU17"/>
      <c r="IV17"/>
    </row>
    <row r="18" spans="1:256" s="9" customFormat="1" ht="15">
      <c r="A18" s="13" t="s">
        <v>35</v>
      </c>
      <c r="B18" s="22"/>
      <c r="C18" s="23"/>
      <c r="D18" s="10"/>
      <c r="E18" s="10"/>
      <c r="F18" s="10"/>
      <c r="G18" s="20"/>
      <c r="H18" s="20"/>
      <c r="I18" s="20"/>
      <c r="IS18" s="12"/>
      <c r="IT18" s="12"/>
      <c r="IU18"/>
      <c r="IV18"/>
    </row>
    <row r="19" spans="1:256" s="9" customFormat="1" ht="15">
      <c r="A19" s="13" t="str">
        <f>IF(B7="w","Bist du Tutorin?","Bist du Tutor?")</f>
        <v>Bist du Tutor?</v>
      </c>
      <c r="B19" s="14"/>
      <c r="C19" s="10" t="e">
        <f>VALUE(D19)</f>
        <v>#VALUE!</v>
      </c>
      <c r="D19" s="10">
        <f>IF(E19=1,E19,MID(B12,1,2))</f>
      </c>
      <c r="E19" s="10">
        <f>MID(B12,1,1)</f>
      </c>
      <c r="F19" s="10"/>
      <c r="G19" s="20"/>
      <c r="H19" s="20"/>
      <c r="I19" s="20"/>
      <c r="IS19" s="12"/>
      <c r="IT19" s="12"/>
      <c r="IU19"/>
      <c r="IV19"/>
    </row>
    <row r="20" spans="3:256" s="24" customFormat="1" ht="7.5" customHeight="1">
      <c r="C20" s="23"/>
      <c r="D20" s="23"/>
      <c r="E20" s="23"/>
      <c r="F20" s="23"/>
      <c r="G20" s="23"/>
      <c r="IS20" s="12"/>
      <c r="IT20" s="12"/>
      <c r="IU20"/>
      <c r="IV20"/>
    </row>
    <row r="21" spans="3:256" s="24" customFormat="1" ht="7.5" customHeight="1">
      <c r="C21" s="23"/>
      <c r="D21" s="23"/>
      <c r="E21" s="23"/>
      <c r="F21" s="23"/>
      <c r="G21" s="23"/>
      <c r="IS21" s="12"/>
      <c r="IT21" s="12"/>
      <c r="IU21"/>
      <c r="IV21"/>
    </row>
    <row r="22" spans="1:256" s="9" customFormat="1" ht="15">
      <c r="A22" s="8" t="s">
        <v>36</v>
      </c>
      <c r="C22" s="11"/>
      <c r="D22" s="19">
        <f>IF(OR(B12="11a",B12="11b",B12="11c",B12="11d",B12="11e",B12="11f",B12="11g",B12="11h",B12="11i",B12="11j",B12="11k",B12="11l"),11,"")</f>
      </c>
      <c r="E22" s="11"/>
      <c r="F22" s="11"/>
      <c r="H22" s="11"/>
      <c r="IS22" s="12"/>
      <c r="IT22" s="12"/>
      <c r="IU22"/>
      <c r="IV22"/>
    </row>
    <row r="23" spans="3:256" s="24" customFormat="1" ht="7.5" customHeight="1">
      <c r="C23" s="23"/>
      <c r="D23" s="23"/>
      <c r="E23" s="23"/>
      <c r="F23" s="23"/>
      <c r="G23" s="23"/>
      <c r="IS23" s="12"/>
      <c r="IT23" s="12"/>
      <c r="IU23"/>
      <c r="IV23"/>
    </row>
    <row r="24" spans="1:256" s="9" customFormat="1" ht="15">
      <c r="A24" s="13" t="s">
        <v>37</v>
      </c>
      <c r="B24" s="25" t="s">
        <v>38</v>
      </c>
      <c r="D24" s="26"/>
      <c r="E24" s="15"/>
      <c r="F24" s="15"/>
      <c r="IS24" s="12"/>
      <c r="IT24" s="12"/>
      <c r="IU24"/>
      <c r="IV24"/>
    </row>
    <row r="25" spans="1:256" s="9" customFormat="1" ht="15.75" customHeight="1">
      <c r="A25" s="13" t="s">
        <v>39</v>
      </c>
      <c r="B25" s="27">
        <v>1</v>
      </c>
      <c r="C25" s="13" t="s">
        <v>40</v>
      </c>
      <c r="D25" s="89" t="str">
        <f>IF(B25=3,B5,IF(B25=2,B3&amp;" "&amp;B5,MID(B3,1,1)&amp;". "&amp;B5))</f>
        <v>. </v>
      </c>
      <c r="E25" s="89"/>
      <c r="F25" s="28"/>
      <c r="G25" s="28"/>
      <c r="H25" s="28"/>
      <c r="IS25" s="12"/>
      <c r="IT25" s="12"/>
      <c r="IU25"/>
      <c r="IV25"/>
    </row>
    <row r="26" spans="1:256" s="9" customFormat="1" ht="15">
      <c r="A26" s="13" t="s">
        <v>41</v>
      </c>
      <c r="B26" s="29"/>
      <c r="IS26" s="12"/>
      <c r="IT26" s="12"/>
      <c r="IU26"/>
      <c r="IV26"/>
    </row>
    <row r="27" spans="1:256" s="9" customFormat="1" ht="15" customHeight="1">
      <c r="A27" s="13" t="s">
        <v>42</v>
      </c>
      <c r="B27" s="30"/>
      <c r="IS27" s="12"/>
      <c r="IT27" s="12"/>
      <c r="IU27"/>
      <c r="IV27"/>
    </row>
    <row r="28" spans="1:256" s="9" customFormat="1" ht="15">
      <c r="A28" s="31" t="s">
        <v>43</v>
      </c>
      <c r="B28" s="32"/>
      <c r="IS28" s="12"/>
      <c r="IT28" s="12"/>
      <c r="IU28"/>
      <c r="IV28"/>
    </row>
    <row r="29" spans="1:256" s="9" customFormat="1" ht="15">
      <c r="A29" s="13" t="s">
        <v>44</v>
      </c>
      <c r="B29" s="14"/>
      <c r="C29" s="13"/>
      <c r="IS29" s="12"/>
      <c r="IT29" s="12"/>
      <c r="IU29"/>
      <c r="IV29"/>
    </row>
    <row r="30" spans="253:256" s="9" customFormat="1" ht="15">
      <c r="IS30" s="12"/>
      <c r="IT30" s="12"/>
      <c r="IU30"/>
      <c r="IV30"/>
    </row>
    <row r="31" spans="1:256" s="9" customFormat="1" ht="15">
      <c r="A31" s="8" t="s">
        <v>45</v>
      </c>
      <c r="C31" s="33" t="s">
        <v>46</v>
      </c>
      <c r="IS31" s="12"/>
      <c r="IT31" s="12"/>
      <c r="IU31"/>
      <c r="IV31"/>
    </row>
    <row r="32" spans="1:256" s="9" customFormat="1" ht="15">
      <c r="A32" s="13" t="s">
        <v>47</v>
      </c>
      <c r="B32" s="14" t="s">
        <v>48</v>
      </c>
      <c r="C32" s="13" t="s">
        <v>49</v>
      </c>
      <c r="D32" s="14" t="s">
        <v>50</v>
      </c>
      <c r="E32" s="10">
        <f>IF(D32="Wort",5,"")</f>
        <v>5</v>
      </c>
      <c r="IS32" s="12"/>
      <c r="IT32" s="12"/>
      <c r="IU32"/>
      <c r="IV32"/>
    </row>
    <row r="33" spans="1:256" s="9" customFormat="1" ht="15">
      <c r="A33" s="13" t="s">
        <v>51</v>
      </c>
      <c r="B33" s="14" t="s">
        <v>52</v>
      </c>
      <c r="E33" s="34"/>
      <c r="IS33" s="12"/>
      <c r="IT33" s="12"/>
      <c r="IU33"/>
      <c r="IV33"/>
    </row>
    <row r="34" spans="1:256" s="9" customFormat="1" ht="15">
      <c r="A34" s="13" t="s">
        <v>53</v>
      </c>
      <c r="B34" s="14" t="s">
        <v>54</v>
      </c>
      <c r="C34" s="33" t="s">
        <v>55</v>
      </c>
      <c r="E34" s="34"/>
      <c r="IS34" s="12"/>
      <c r="IT34" s="12"/>
      <c r="IU34"/>
      <c r="IV34"/>
    </row>
    <row r="35" spans="1:256" s="9" customFormat="1" ht="15">
      <c r="A35" s="13" t="s">
        <v>56</v>
      </c>
      <c r="B35" s="14" t="s">
        <v>57</v>
      </c>
      <c r="C35" s="13" t="s">
        <v>49</v>
      </c>
      <c r="D35" s="14" t="s">
        <v>50</v>
      </c>
      <c r="E35" s="10">
        <f>IF(D35="Wort",5,"")</f>
        <v>5</v>
      </c>
      <c r="IS35" s="12"/>
      <c r="IT35" s="12"/>
      <c r="IU35"/>
      <c r="IV35"/>
    </row>
    <row r="36" spans="1:256" s="9" customFormat="1" ht="15">
      <c r="A36" s="13" t="s">
        <v>58</v>
      </c>
      <c r="B36" s="14" t="s">
        <v>59</v>
      </c>
      <c r="IS36" s="12"/>
      <c r="IT36" s="12"/>
      <c r="IU36"/>
      <c r="IV36"/>
    </row>
    <row r="37" spans="1:256" s="9" customFormat="1" ht="15">
      <c r="A37" s="13" t="s">
        <v>60</v>
      </c>
      <c r="B37" s="14" t="s">
        <v>61</v>
      </c>
      <c r="IS37" s="12"/>
      <c r="IT37" s="12"/>
      <c r="IU37"/>
      <c r="IV37"/>
    </row>
    <row r="38" spans="3:256" s="24" customFormat="1" ht="7.5" customHeight="1">
      <c r="C38" s="23"/>
      <c r="D38" s="23"/>
      <c r="E38" s="23"/>
      <c r="F38" s="23"/>
      <c r="G38" s="23"/>
      <c r="IS38" s="12"/>
      <c r="IT38" s="12"/>
      <c r="IU38"/>
      <c r="IV38"/>
    </row>
    <row r="39" spans="3:256" s="24" customFormat="1" ht="7.5" customHeight="1">
      <c r="C39" s="23"/>
      <c r="D39" s="23"/>
      <c r="E39" s="23"/>
      <c r="F39" s="9"/>
      <c r="G39" s="23"/>
      <c r="IS39" s="12"/>
      <c r="IT39" s="12"/>
      <c r="IU39"/>
      <c r="IV39"/>
    </row>
    <row r="40" spans="1:256" s="9" customFormat="1" ht="15.75">
      <c r="A40" s="8" t="s">
        <v>62</v>
      </c>
      <c r="E40" s="35"/>
      <c r="IS40" s="12"/>
      <c r="IT40" s="12"/>
      <c r="IU40"/>
      <c r="IV40"/>
    </row>
    <row r="41" spans="1:256" s="9" customFormat="1" ht="15">
      <c r="A41" s="31" t="s">
        <v>63</v>
      </c>
      <c r="B41" s="25" t="s">
        <v>64</v>
      </c>
      <c r="C41" s="36" t="s">
        <v>65</v>
      </c>
      <c r="IS41" s="12"/>
      <c r="IT41" s="12"/>
      <c r="IU41"/>
      <c r="IV41"/>
    </row>
    <row r="42" spans="253:256" s="9" customFormat="1" ht="15">
      <c r="IS42" s="12"/>
      <c r="IT42" s="12"/>
      <c r="IU42"/>
      <c r="IV42"/>
    </row>
    <row r="43" spans="1:256" s="9" customFormat="1" ht="15">
      <c r="A43" s="13" t="s">
        <v>66</v>
      </c>
      <c r="B43" s="37" t="s">
        <v>67</v>
      </c>
      <c r="IS43" s="12"/>
      <c r="IT43" s="12"/>
      <c r="IU43"/>
      <c r="IV43"/>
    </row>
    <row r="44" spans="253:256" s="9" customFormat="1" ht="15">
      <c r="IS44" s="12"/>
      <c r="IT44" s="12"/>
      <c r="IU44"/>
      <c r="IV44"/>
    </row>
    <row r="45" spans="1:256" s="9" customFormat="1" ht="15">
      <c r="A45" s="8" t="s">
        <v>68</v>
      </c>
      <c r="IS45" s="12"/>
      <c r="IT45" s="12"/>
      <c r="IU45"/>
      <c r="IV45"/>
    </row>
    <row r="46" spans="1:256" s="9" customFormat="1" ht="15">
      <c r="A46" s="13" t="s">
        <v>69</v>
      </c>
      <c r="B46" s="37" t="s">
        <v>131</v>
      </c>
      <c r="IS46" s="12"/>
      <c r="IT46" s="12"/>
      <c r="IU46"/>
      <c r="IV46"/>
    </row>
    <row r="47" spans="1:256" s="9" customFormat="1" ht="15">
      <c r="A47" s="13" t="s">
        <v>70</v>
      </c>
      <c r="B47" s="37" t="s">
        <v>130</v>
      </c>
      <c r="IS47" s="12"/>
      <c r="IT47" s="12"/>
      <c r="IU47"/>
      <c r="IV47"/>
    </row>
    <row r="48" spans="1:256" s="9" customFormat="1" ht="15">
      <c r="A48" s="13" t="s">
        <v>71</v>
      </c>
      <c r="B48" s="37" t="s">
        <v>72</v>
      </c>
      <c r="IS48" s="12"/>
      <c r="IT48" s="12"/>
      <c r="IU48"/>
      <c r="IV48"/>
    </row>
    <row r="49" spans="1:256" s="9" customFormat="1" ht="15">
      <c r="A49" s="13" t="s">
        <v>73</v>
      </c>
      <c r="B49" s="37" t="s">
        <v>74</v>
      </c>
      <c r="IS49" s="12"/>
      <c r="IT49" s="12"/>
      <c r="IU49"/>
      <c r="IV49"/>
    </row>
    <row r="50" spans="253:256" s="9" customFormat="1" ht="15">
      <c r="IS50" s="12"/>
      <c r="IT50" s="12"/>
      <c r="IU50"/>
      <c r="IV50"/>
    </row>
    <row r="51" spans="1:256" s="9" customFormat="1" ht="15">
      <c r="A51" s="8" t="s">
        <v>75</v>
      </c>
      <c r="IS51" s="12"/>
      <c r="IT51" s="12"/>
      <c r="IU51"/>
      <c r="IV51"/>
    </row>
    <row r="52" spans="253:256" s="9" customFormat="1" ht="15">
      <c r="IS52" s="12"/>
      <c r="IT52" s="12"/>
      <c r="IU52"/>
      <c r="IV52"/>
    </row>
    <row r="53" spans="1:256" s="9" customFormat="1" ht="15">
      <c r="A53" s="13" t="s">
        <v>76</v>
      </c>
      <c r="B53" s="37">
        <v>6</v>
      </c>
      <c r="IS53" s="12"/>
      <c r="IT53" s="12"/>
      <c r="IU53"/>
      <c r="IV53"/>
    </row>
    <row r="54" spans="1:256" s="9" customFormat="1" ht="15">
      <c r="A54" s="13" t="s">
        <v>77</v>
      </c>
      <c r="IS54" s="12"/>
      <c r="IT54" s="12"/>
      <c r="IU54"/>
      <c r="IV54"/>
    </row>
    <row r="55" spans="1:256" s="9" customFormat="1" ht="15">
      <c r="A55" s="13" t="str">
        <f>"ein Mal Note "&amp;B53&amp;" und/oder"</f>
        <v>ein Mal Note 6 und/oder</v>
      </c>
      <c r="B55" s="37">
        <v>2</v>
      </c>
      <c r="C55" s="9" t="str">
        <f>"mal Note "&amp;B53-1&amp;" ."</f>
        <v>mal Note 5 .</v>
      </c>
      <c r="IS55" s="12"/>
      <c r="IT55" s="12"/>
      <c r="IU55"/>
      <c r="IV55"/>
    </row>
    <row r="56" spans="253:256" s="9" customFormat="1" ht="15">
      <c r="IS56" s="12"/>
      <c r="IT56" s="12"/>
      <c r="IU56"/>
      <c r="IV56"/>
    </row>
    <row r="57" spans="253:256" s="9" customFormat="1" ht="15">
      <c r="IS57" s="12"/>
      <c r="IT57" s="12"/>
      <c r="IU57"/>
      <c r="IV57"/>
    </row>
    <row r="58" spans="253:256" s="9" customFormat="1" ht="15">
      <c r="IS58" s="12"/>
      <c r="IT58" s="12"/>
      <c r="IU58"/>
      <c r="IV58"/>
    </row>
    <row r="59" spans="253:256" s="9" customFormat="1" ht="15">
      <c r="IS59" s="12"/>
      <c r="IT59" s="12"/>
      <c r="IU59"/>
      <c r="IV59"/>
    </row>
    <row r="60" spans="253:256" s="9" customFormat="1" ht="15">
      <c r="IS60" s="12"/>
      <c r="IT60" s="12"/>
      <c r="IU60"/>
      <c r="IV60"/>
    </row>
    <row r="61" spans="253:256" s="9" customFormat="1" ht="15">
      <c r="IS61" s="12"/>
      <c r="IT61" s="12"/>
      <c r="IU61"/>
      <c r="IV61"/>
    </row>
    <row r="62" spans="253:256" s="9" customFormat="1" ht="15">
      <c r="IS62" s="12"/>
      <c r="IT62" s="12"/>
      <c r="IU62"/>
      <c r="IV62"/>
    </row>
    <row r="63" spans="253:256" s="9" customFormat="1" ht="15">
      <c r="IS63" s="12"/>
      <c r="IT63" s="12"/>
      <c r="IU63"/>
      <c r="IV63"/>
    </row>
    <row r="64" spans="253:256" s="9" customFormat="1" ht="15">
      <c r="IS64" s="12"/>
      <c r="IT64" s="12"/>
      <c r="IU64"/>
      <c r="IV64"/>
    </row>
    <row r="65" spans="253:256" s="9" customFormat="1" ht="15">
      <c r="IS65" s="12"/>
      <c r="IT65" s="12"/>
      <c r="IU65"/>
      <c r="IV65"/>
    </row>
    <row r="66" spans="253:256" s="9" customFormat="1" ht="15">
      <c r="IS66" s="12"/>
      <c r="IT66" s="12"/>
      <c r="IU66"/>
      <c r="IV66"/>
    </row>
    <row r="67" spans="253:256" s="9" customFormat="1" ht="15">
      <c r="IS67" s="12"/>
      <c r="IT67" s="12"/>
      <c r="IU67"/>
      <c r="IV67"/>
    </row>
    <row r="68" spans="253:256" s="9" customFormat="1" ht="15">
      <c r="IS68" s="12"/>
      <c r="IT68" s="12"/>
      <c r="IU68"/>
      <c r="IV68"/>
    </row>
    <row r="69" spans="253:256" s="9" customFormat="1" ht="15">
      <c r="IS69" s="12"/>
      <c r="IT69" s="12"/>
      <c r="IU69"/>
      <c r="IV69"/>
    </row>
    <row r="70" spans="253:256" s="9" customFormat="1" ht="15">
      <c r="IS70" s="12"/>
      <c r="IT70" s="12"/>
      <c r="IU70"/>
      <c r="IV70"/>
    </row>
    <row r="71" spans="253:256" s="9" customFormat="1" ht="15">
      <c r="IS71" s="12"/>
      <c r="IT71" s="12"/>
      <c r="IU71"/>
      <c r="IV71"/>
    </row>
    <row r="72" spans="253:256" s="9" customFormat="1" ht="15">
      <c r="IS72" s="12"/>
      <c r="IT72" s="12"/>
      <c r="IU72"/>
      <c r="IV72"/>
    </row>
    <row r="73" spans="253:256" s="9" customFormat="1" ht="15">
      <c r="IS73" s="12"/>
      <c r="IT73" s="12"/>
      <c r="IU73"/>
      <c r="IV73"/>
    </row>
    <row r="74" spans="253:256" s="9" customFormat="1" ht="15">
      <c r="IS74" s="12"/>
      <c r="IT74" s="12"/>
      <c r="IU74"/>
      <c r="IV74"/>
    </row>
    <row r="75" spans="253:256" s="9" customFormat="1" ht="15">
      <c r="IS75" s="12"/>
      <c r="IT75" s="12"/>
      <c r="IU75"/>
      <c r="IV75"/>
    </row>
    <row r="76" spans="253:256" s="9" customFormat="1" ht="15">
      <c r="IS76" s="12"/>
      <c r="IT76" s="12"/>
      <c r="IU76"/>
      <c r="IV76"/>
    </row>
    <row r="77" spans="253:256" s="9" customFormat="1" ht="15">
      <c r="IS77" s="12"/>
      <c r="IT77" s="12"/>
      <c r="IU77"/>
      <c r="IV77"/>
    </row>
    <row r="78" spans="253:256" s="9" customFormat="1" ht="15">
      <c r="IS78" s="12"/>
      <c r="IT78" s="12"/>
      <c r="IU78"/>
      <c r="IV78"/>
    </row>
    <row r="79" spans="253:256" s="9" customFormat="1" ht="15">
      <c r="IS79" s="12"/>
      <c r="IT79" s="12"/>
      <c r="IU79"/>
      <c r="IV79"/>
    </row>
    <row r="80" spans="253:256" s="9" customFormat="1" ht="15">
      <c r="IS80" s="12"/>
      <c r="IT80" s="12"/>
      <c r="IU80"/>
      <c r="IV80"/>
    </row>
    <row r="81" spans="253:256" s="9" customFormat="1" ht="15">
      <c r="IS81" s="12"/>
      <c r="IT81" s="12"/>
      <c r="IU81"/>
      <c r="IV81"/>
    </row>
    <row r="82" spans="253:256" s="9" customFormat="1" ht="15">
      <c r="IS82" s="12"/>
      <c r="IT82" s="12"/>
      <c r="IU82"/>
      <c r="IV82"/>
    </row>
    <row r="83" spans="253:256" s="9" customFormat="1" ht="15">
      <c r="IS83" s="12"/>
      <c r="IT83" s="12"/>
      <c r="IU83"/>
      <c r="IV83"/>
    </row>
    <row r="84" spans="253:256" s="9" customFormat="1" ht="15">
      <c r="IS84" s="12"/>
      <c r="IT84" s="12"/>
      <c r="IU84"/>
      <c r="IV84"/>
    </row>
    <row r="85" spans="253:256" s="9" customFormat="1" ht="15">
      <c r="IS85" s="12"/>
      <c r="IT85" s="12"/>
      <c r="IU85"/>
      <c r="IV85"/>
    </row>
    <row r="86" spans="253:256" s="9" customFormat="1" ht="15">
      <c r="IS86" s="12"/>
      <c r="IT86" s="12"/>
      <c r="IU86"/>
      <c r="IV86"/>
    </row>
    <row r="87" spans="253:256" s="9" customFormat="1" ht="15">
      <c r="IS87" s="12"/>
      <c r="IT87" s="12"/>
      <c r="IU87"/>
      <c r="IV87"/>
    </row>
    <row r="88" spans="253:256" s="9" customFormat="1" ht="15">
      <c r="IS88" s="12"/>
      <c r="IT88" s="12"/>
      <c r="IU88"/>
      <c r="IV88"/>
    </row>
    <row r="89" spans="253:256" s="9" customFormat="1" ht="15">
      <c r="IS89" s="12"/>
      <c r="IT89" s="12"/>
      <c r="IU89"/>
      <c r="IV89"/>
    </row>
    <row r="90" spans="253:256" s="9" customFormat="1" ht="15">
      <c r="IS90" s="12"/>
      <c r="IT90" s="12"/>
      <c r="IU90"/>
      <c r="IV90"/>
    </row>
    <row r="91" spans="253:256" s="9" customFormat="1" ht="15">
      <c r="IS91" s="12"/>
      <c r="IT91" s="12"/>
      <c r="IU91"/>
      <c r="IV91"/>
    </row>
    <row r="92" spans="253:256" s="9" customFormat="1" ht="15">
      <c r="IS92" s="12"/>
      <c r="IT92" s="12"/>
      <c r="IU92"/>
      <c r="IV92"/>
    </row>
    <row r="93" spans="253:256" s="9" customFormat="1" ht="15">
      <c r="IS93" s="12"/>
      <c r="IT93" s="12"/>
      <c r="IU93"/>
      <c r="IV93"/>
    </row>
    <row r="94" spans="253:256" s="9" customFormat="1" ht="15">
      <c r="IS94" s="12"/>
      <c r="IT94" s="12"/>
      <c r="IU94"/>
      <c r="IV94"/>
    </row>
    <row r="95" spans="253:256" s="9" customFormat="1" ht="15">
      <c r="IS95" s="12"/>
      <c r="IT95" s="12"/>
      <c r="IU95"/>
      <c r="IV95"/>
    </row>
    <row r="96" spans="253:256" s="9" customFormat="1" ht="15">
      <c r="IS96" s="12"/>
      <c r="IT96" s="12"/>
      <c r="IU96"/>
      <c r="IV96"/>
    </row>
    <row r="97" spans="253:256" s="9" customFormat="1" ht="15">
      <c r="IS97" s="12"/>
      <c r="IT97" s="12"/>
      <c r="IU97"/>
      <c r="IV97"/>
    </row>
    <row r="98" spans="253:256" s="9" customFormat="1" ht="15">
      <c r="IS98" s="12"/>
      <c r="IT98" s="12"/>
      <c r="IU98"/>
      <c r="IV98"/>
    </row>
    <row r="99" spans="253:256" s="9" customFormat="1" ht="15">
      <c r="IS99" s="12"/>
      <c r="IT99" s="12"/>
      <c r="IU99"/>
      <c r="IV99"/>
    </row>
    <row r="100" spans="253:256" s="9" customFormat="1" ht="15">
      <c r="IS100" s="12"/>
      <c r="IT100" s="12"/>
      <c r="IU100"/>
      <c r="IV100"/>
    </row>
    <row r="101" spans="253:256" s="9" customFormat="1" ht="15">
      <c r="IS101" s="12"/>
      <c r="IT101" s="12"/>
      <c r="IU101"/>
      <c r="IV101"/>
    </row>
    <row r="102" spans="253:256" s="9" customFormat="1" ht="15">
      <c r="IS102" s="12"/>
      <c r="IT102" s="12"/>
      <c r="IU102"/>
      <c r="IV102"/>
    </row>
    <row r="103" spans="253:256" s="9" customFormat="1" ht="15">
      <c r="IS103" s="12"/>
      <c r="IT103" s="12"/>
      <c r="IU103"/>
      <c r="IV103"/>
    </row>
    <row r="104" spans="253:256" s="9" customFormat="1" ht="15">
      <c r="IS104" s="12"/>
      <c r="IT104" s="12"/>
      <c r="IU104"/>
      <c r="IV104"/>
    </row>
    <row r="105" spans="253:256" s="9" customFormat="1" ht="15">
      <c r="IS105" s="12"/>
      <c r="IT105" s="12"/>
      <c r="IU105"/>
      <c r="IV105"/>
    </row>
    <row r="106" spans="253:256" s="9" customFormat="1" ht="15">
      <c r="IS106" s="12"/>
      <c r="IT106" s="12"/>
      <c r="IU106"/>
      <c r="IV106"/>
    </row>
    <row r="107" spans="253:256" s="9" customFormat="1" ht="15">
      <c r="IS107" s="12"/>
      <c r="IT107" s="12"/>
      <c r="IU107"/>
      <c r="IV107"/>
    </row>
    <row r="108" spans="253:256" s="9" customFormat="1" ht="15">
      <c r="IS108" s="12"/>
      <c r="IT108" s="12"/>
      <c r="IU108"/>
      <c r="IV108"/>
    </row>
    <row r="109" spans="253:256" s="9" customFormat="1" ht="15">
      <c r="IS109" s="12"/>
      <c r="IT109" s="12"/>
      <c r="IU109"/>
      <c r="IV109"/>
    </row>
    <row r="110" spans="253:256" s="9" customFormat="1" ht="15">
      <c r="IS110" s="12"/>
      <c r="IT110" s="12"/>
      <c r="IU110"/>
      <c r="IV110"/>
    </row>
    <row r="111" spans="253:256" s="9" customFormat="1" ht="15">
      <c r="IS111" s="12"/>
      <c r="IT111" s="12"/>
      <c r="IU111"/>
      <c r="IV111"/>
    </row>
    <row r="112" spans="253:256" s="9" customFormat="1" ht="15">
      <c r="IS112" s="12"/>
      <c r="IT112" s="12"/>
      <c r="IU112"/>
      <c r="IV112"/>
    </row>
    <row r="113" spans="253:256" s="9" customFormat="1" ht="15">
      <c r="IS113" s="12"/>
      <c r="IT113" s="12"/>
      <c r="IU113"/>
      <c r="IV113"/>
    </row>
    <row r="114" spans="253:256" s="9" customFormat="1" ht="15">
      <c r="IS114" s="12"/>
      <c r="IT114" s="12"/>
      <c r="IU114"/>
      <c r="IV114"/>
    </row>
    <row r="115" spans="253:256" s="9" customFormat="1" ht="15">
      <c r="IS115" s="12"/>
      <c r="IT115" s="12"/>
      <c r="IU115"/>
      <c r="IV115"/>
    </row>
    <row r="116" spans="253:256" s="9" customFormat="1" ht="15">
      <c r="IS116" s="12"/>
      <c r="IT116" s="12"/>
      <c r="IU116"/>
      <c r="IV116"/>
    </row>
    <row r="117" spans="253:256" s="9" customFormat="1" ht="15">
      <c r="IS117" s="12"/>
      <c r="IT117" s="12"/>
      <c r="IU117"/>
      <c r="IV117"/>
    </row>
    <row r="118" spans="253:256" s="9" customFormat="1" ht="15">
      <c r="IS118" s="12"/>
      <c r="IT118" s="12"/>
      <c r="IU118"/>
      <c r="IV118"/>
    </row>
    <row r="119" spans="253:256" s="9" customFormat="1" ht="15">
      <c r="IS119" s="12"/>
      <c r="IT119" s="12"/>
      <c r="IU119"/>
      <c r="IV119"/>
    </row>
    <row r="120" spans="253:256" s="9" customFormat="1" ht="15">
      <c r="IS120" s="12"/>
      <c r="IT120" s="12"/>
      <c r="IU120"/>
      <c r="IV120"/>
    </row>
    <row r="121" spans="253:256" s="9" customFormat="1" ht="15">
      <c r="IS121" s="12"/>
      <c r="IT121" s="12"/>
      <c r="IU121"/>
      <c r="IV121"/>
    </row>
    <row r="122" spans="253:256" s="9" customFormat="1" ht="15">
      <c r="IS122" s="12"/>
      <c r="IT122" s="12"/>
      <c r="IU122"/>
      <c r="IV122"/>
    </row>
    <row r="123" spans="253:256" s="9" customFormat="1" ht="15">
      <c r="IS123" s="12"/>
      <c r="IT123" s="12"/>
      <c r="IU123"/>
      <c r="IV123"/>
    </row>
    <row r="124" spans="253:256" s="9" customFormat="1" ht="15">
      <c r="IS124" s="12"/>
      <c r="IT124" s="12"/>
      <c r="IU124"/>
      <c r="IV124"/>
    </row>
    <row r="125" spans="253:256" s="9" customFormat="1" ht="15">
      <c r="IS125" s="12"/>
      <c r="IT125" s="12"/>
      <c r="IU125"/>
      <c r="IV125"/>
    </row>
    <row r="126" spans="253:256" s="9" customFormat="1" ht="15">
      <c r="IS126" s="12"/>
      <c r="IT126" s="12"/>
      <c r="IU126"/>
      <c r="IV126"/>
    </row>
    <row r="127" spans="253:256" s="9" customFormat="1" ht="15">
      <c r="IS127" s="12"/>
      <c r="IT127" s="12"/>
      <c r="IU127"/>
      <c r="IV127"/>
    </row>
    <row r="128" spans="253:256" s="9" customFormat="1" ht="15">
      <c r="IS128" s="12"/>
      <c r="IT128" s="12"/>
      <c r="IU128"/>
      <c r="IV128"/>
    </row>
    <row r="129" spans="253:256" s="9" customFormat="1" ht="15">
      <c r="IS129" s="12"/>
      <c r="IT129" s="12"/>
      <c r="IU129"/>
      <c r="IV129"/>
    </row>
    <row r="130" spans="253:256" s="9" customFormat="1" ht="15">
      <c r="IS130" s="12"/>
      <c r="IT130" s="12"/>
      <c r="IU130"/>
      <c r="IV130"/>
    </row>
    <row r="131" spans="253:256" s="9" customFormat="1" ht="15">
      <c r="IS131" s="12"/>
      <c r="IT131" s="12"/>
      <c r="IU131"/>
      <c r="IV131"/>
    </row>
    <row r="132" spans="253:256" s="9" customFormat="1" ht="15">
      <c r="IS132" s="12"/>
      <c r="IT132" s="12"/>
      <c r="IU132"/>
      <c r="IV132"/>
    </row>
    <row r="133" spans="253:256" s="9" customFormat="1" ht="15">
      <c r="IS133" s="12"/>
      <c r="IT133" s="12"/>
      <c r="IU133"/>
      <c r="IV133"/>
    </row>
    <row r="134" spans="253:256" s="9" customFormat="1" ht="15">
      <c r="IS134" s="12"/>
      <c r="IT134" s="12"/>
      <c r="IU134"/>
      <c r="IV134"/>
    </row>
    <row r="135" spans="253:256" s="9" customFormat="1" ht="15">
      <c r="IS135" s="12"/>
      <c r="IT135" s="12"/>
      <c r="IU135"/>
      <c r="IV135"/>
    </row>
    <row r="136" spans="253:256" s="9" customFormat="1" ht="15">
      <c r="IS136" s="12"/>
      <c r="IT136" s="12"/>
      <c r="IU136"/>
      <c r="IV136"/>
    </row>
    <row r="137" spans="253:256" s="9" customFormat="1" ht="15">
      <c r="IS137" s="12"/>
      <c r="IT137" s="12"/>
      <c r="IU137"/>
      <c r="IV137"/>
    </row>
    <row r="138" spans="253:256" s="9" customFormat="1" ht="15">
      <c r="IS138" s="12"/>
      <c r="IT138" s="12"/>
      <c r="IU138"/>
      <c r="IV138"/>
    </row>
    <row r="139" spans="253:256" s="9" customFormat="1" ht="15">
      <c r="IS139" s="12"/>
      <c r="IT139" s="12"/>
      <c r="IU139"/>
      <c r="IV139"/>
    </row>
    <row r="140" spans="253:256" s="9" customFormat="1" ht="15">
      <c r="IS140" s="12"/>
      <c r="IT140" s="12"/>
      <c r="IU140"/>
      <c r="IV140"/>
    </row>
    <row r="141" spans="253:256" s="9" customFormat="1" ht="15">
      <c r="IS141" s="12"/>
      <c r="IT141" s="12"/>
      <c r="IU141"/>
      <c r="IV141"/>
    </row>
    <row r="142" spans="253:256" s="9" customFormat="1" ht="15">
      <c r="IS142" s="12"/>
      <c r="IT142" s="12"/>
      <c r="IU142"/>
      <c r="IV142"/>
    </row>
    <row r="143" spans="253:256" s="9" customFormat="1" ht="15">
      <c r="IS143" s="12"/>
      <c r="IT143" s="12"/>
      <c r="IU143"/>
      <c r="IV143"/>
    </row>
    <row r="144" spans="253:256" s="9" customFormat="1" ht="15">
      <c r="IS144" s="12"/>
      <c r="IT144" s="12"/>
      <c r="IU144"/>
      <c r="IV144"/>
    </row>
    <row r="145" spans="253:256" s="9" customFormat="1" ht="15">
      <c r="IS145" s="12"/>
      <c r="IT145" s="12"/>
      <c r="IU145"/>
      <c r="IV145"/>
    </row>
    <row r="146" spans="253:256" s="9" customFormat="1" ht="15">
      <c r="IS146" s="12"/>
      <c r="IT146" s="12"/>
      <c r="IU146"/>
      <c r="IV146"/>
    </row>
    <row r="147" spans="253:256" s="9" customFormat="1" ht="15">
      <c r="IS147" s="12"/>
      <c r="IT147" s="12"/>
      <c r="IU147"/>
      <c r="IV147"/>
    </row>
    <row r="148" spans="253:256" s="9" customFormat="1" ht="15">
      <c r="IS148" s="12"/>
      <c r="IT148" s="12"/>
      <c r="IU148"/>
      <c r="IV148"/>
    </row>
    <row r="149" spans="253:256" s="9" customFormat="1" ht="15">
      <c r="IS149" s="12"/>
      <c r="IT149" s="12"/>
      <c r="IU149"/>
      <c r="IV149"/>
    </row>
    <row r="150" spans="253:256" s="9" customFormat="1" ht="15">
      <c r="IS150" s="12"/>
      <c r="IT150" s="12"/>
      <c r="IU150"/>
      <c r="IV150"/>
    </row>
    <row r="151" spans="253:256" s="9" customFormat="1" ht="15">
      <c r="IS151" s="12"/>
      <c r="IT151" s="12"/>
      <c r="IU151"/>
      <c r="IV151"/>
    </row>
    <row r="152" spans="253:256" s="9" customFormat="1" ht="15">
      <c r="IS152" s="12"/>
      <c r="IT152" s="12"/>
      <c r="IU152"/>
      <c r="IV152"/>
    </row>
    <row r="153" spans="253:256" s="9" customFormat="1" ht="15">
      <c r="IS153" s="12"/>
      <c r="IT153" s="12"/>
      <c r="IU153"/>
      <c r="IV153"/>
    </row>
    <row r="154" spans="253:256" s="9" customFormat="1" ht="15">
      <c r="IS154" s="12"/>
      <c r="IT154" s="12"/>
      <c r="IU154"/>
      <c r="IV154"/>
    </row>
    <row r="155" spans="253:256" s="9" customFormat="1" ht="15">
      <c r="IS155" s="12"/>
      <c r="IT155" s="12"/>
      <c r="IU155"/>
      <c r="IV155"/>
    </row>
    <row r="156" spans="253:256" s="9" customFormat="1" ht="15">
      <c r="IS156" s="12"/>
      <c r="IT156" s="12"/>
      <c r="IU156"/>
      <c r="IV156"/>
    </row>
    <row r="157" spans="253:256" s="9" customFormat="1" ht="15">
      <c r="IS157" s="12"/>
      <c r="IT157" s="12"/>
      <c r="IU157"/>
      <c r="IV157"/>
    </row>
    <row r="158" spans="253:256" s="9" customFormat="1" ht="15">
      <c r="IS158" s="12"/>
      <c r="IT158" s="12"/>
      <c r="IU158"/>
      <c r="IV158"/>
    </row>
    <row r="159" spans="253:256" s="9" customFormat="1" ht="15">
      <c r="IS159" s="12"/>
      <c r="IT159" s="12"/>
      <c r="IU159"/>
      <c r="IV159"/>
    </row>
    <row r="160" spans="253:256" s="9" customFormat="1" ht="15">
      <c r="IS160" s="12"/>
      <c r="IT160" s="12"/>
      <c r="IU160"/>
      <c r="IV160"/>
    </row>
    <row r="161" spans="253:256" s="9" customFormat="1" ht="15">
      <c r="IS161" s="12"/>
      <c r="IT161" s="12"/>
      <c r="IU161"/>
      <c r="IV161"/>
    </row>
    <row r="162" spans="253:256" s="9" customFormat="1" ht="15">
      <c r="IS162" s="12"/>
      <c r="IT162" s="12"/>
      <c r="IU162"/>
      <c r="IV162"/>
    </row>
    <row r="163" spans="253:256" s="9" customFormat="1" ht="15">
      <c r="IS163" s="12"/>
      <c r="IT163" s="12"/>
      <c r="IU163"/>
      <c r="IV163"/>
    </row>
    <row r="164" spans="253:256" s="9" customFormat="1" ht="15">
      <c r="IS164" s="12"/>
      <c r="IT164" s="12"/>
      <c r="IU164"/>
      <c r="IV164"/>
    </row>
    <row r="165" spans="253:256" s="9" customFormat="1" ht="15">
      <c r="IS165" s="12"/>
      <c r="IT165" s="12"/>
      <c r="IU165"/>
      <c r="IV165"/>
    </row>
    <row r="166" spans="253:256" s="9" customFormat="1" ht="15">
      <c r="IS166" s="12"/>
      <c r="IT166" s="12"/>
      <c r="IU166"/>
      <c r="IV166"/>
    </row>
    <row r="167" spans="253:256" s="9" customFormat="1" ht="15">
      <c r="IS167" s="12"/>
      <c r="IT167" s="12"/>
      <c r="IU167"/>
      <c r="IV167"/>
    </row>
    <row r="168" spans="253:256" s="9" customFormat="1" ht="15">
      <c r="IS168" s="12"/>
      <c r="IT168" s="12"/>
      <c r="IU168"/>
      <c r="IV168"/>
    </row>
    <row r="169" spans="253:256" s="9" customFormat="1" ht="15">
      <c r="IS169" s="12"/>
      <c r="IT169" s="12"/>
      <c r="IU169"/>
      <c r="IV169"/>
    </row>
    <row r="170" spans="253:256" s="9" customFormat="1" ht="15">
      <c r="IS170" s="12"/>
      <c r="IT170" s="12"/>
      <c r="IU170"/>
      <c r="IV170"/>
    </row>
    <row r="171" spans="253:256" s="9" customFormat="1" ht="15">
      <c r="IS171" s="12"/>
      <c r="IT171" s="12"/>
      <c r="IU171"/>
      <c r="IV171"/>
    </row>
    <row r="172" spans="253:256" s="9" customFormat="1" ht="15">
      <c r="IS172" s="12"/>
      <c r="IT172" s="12"/>
      <c r="IU172"/>
      <c r="IV172"/>
    </row>
    <row r="173" spans="253:256" s="9" customFormat="1" ht="15">
      <c r="IS173" s="12"/>
      <c r="IT173" s="12"/>
      <c r="IU173"/>
      <c r="IV173"/>
    </row>
    <row r="174" spans="253:256" s="9" customFormat="1" ht="15">
      <c r="IS174" s="12"/>
      <c r="IT174" s="12"/>
      <c r="IU174"/>
      <c r="IV174"/>
    </row>
    <row r="175" spans="253:256" s="9" customFormat="1" ht="15">
      <c r="IS175" s="12"/>
      <c r="IT175" s="12"/>
      <c r="IU175"/>
      <c r="IV175"/>
    </row>
    <row r="176" spans="253:256" s="9" customFormat="1" ht="15">
      <c r="IS176" s="12"/>
      <c r="IT176" s="12"/>
      <c r="IU176"/>
      <c r="IV176"/>
    </row>
    <row r="177" spans="253:256" s="9" customFormat="1" ht="15">
      <c r="IS177" s="12"/>
      <c r="IT177" s="12"/>
      <c r="IU177"/>
      <c r="IV177"/>
    </row>
    <row r="178" spans="253:256" s="9" customFormat="1" ht="15">
      <c r="IS178" s="12"/>
      <c r="IT178" s="12"/>
      <c r="IU178"/>
      <c r="IV178"/>
    </row>
    <row r="179" spans="253:256" s="9" customFormat="1" ht="15">
      <c r="IS179" s="12"/>
      <c r="IT179" s="12"/>
      <c r="IU179"/>
      <c r="IV179"/>
    </row>
    <row r="180" spans="253:256" s="9" customFormat="1" ht="15">
      <c r="IS180" s="12"/>
      <c r="IT180" s="12"/>
      <c r="IU180"/>
      <c r="IV180"/>
    </row>
    <row r="181" spans="253:256" s="9" customFormat="1" ht="15">
      <c r="IS181" s="12"/>
      <c r="IT181" s="12"/>
      <c r="IU181"/>
      <c r="IV181"/>
    </row>
    <row r="182" spans="253:256" s="9" customFormat="1" ht="15">
      <c r="IS182" s="12"/>
      <c r="IT182" s="12"/>
      <c r="IU182"/>
      <c r="IV182"/>
    </row>
    <row r="183" spans="253:256" s="9" customFormat="1" ht="15">
      <c r="IS183" s="12"/>
      <c r="IT183" s="12"/>
      <c r="IU183"/>
      <c r="IV183"/>
    </row>
  </sheetData>
  <sheetProtection selectLockedCells="1" selectUnlockedCells="1"/>
  <mergeCells count="1">
    <mergeCell ref="D25:E25"/>
  </mergeCells>
  <conditionalFormatting sqref="A19 D15:E16 D22 D24 F15">
    <cfRule type="cellIs" priority="1" dxfId="6" operator="equal" stopIfTrue="1">
      <formula>"Bist du Tutorin? (ja / nein)"</formula>
    </cfRule>
    <cfRule type="cellIs" priority="2" dxfId="6" operator="equal" stopIfTrue="1">
      <formula>"Bist du Tutor? (ja / nein)"</formula>
    </cfRule>
  </conditionalFormatting>
  <conditionalFormatting sqref="B19">
    <cfRule type="expression" priority="3" dxfId="7" stopIfTrue="1">
      <formula>Optionen!$A$19</formula>
    </cfRule>
  </conditionalFormatting>
  <dataValidations count="36">
    <dataValidation errorStyle="warning" operator="equal" allowBlank="1" showInputMessage="1" showErrorMessage="1" promptTitle="Vornamen" prompt="Gib hier deinen Vornamen ein. Er wird später im Zeugnistext verwendet." errorTitle="Programmfehler!" error="Microsoft Excel hat ein Problem festgestellt und muss beendet werden. Dabei gehen alle offenen Arbeitsmappen verloren!&#10;Pech gehabt!&#10;Grund: Zu hässlicher Name!" sqref="B3">
      <formula1>0</formula1>
    </dataValidation>
    <dataValidation operator="equal" allowBlank="1" showInputMessage="1" promptTitle="2. Vorname" prompt="Gib hier deinen zweiten Vornamen ein. Hast du keinen, lass die Zelle frei. Hast mehr als zwei Vornamen, gib diese hier in der richtigen Reihenfolge ein." sqref="B4">
      <formula1>0</formula1>
    </dataValidation>
    <dataValidation errorStyle="information" type="textLength" showInputMessage="1" showErrorMessage="1" promptTitle="Nachnamen" prompt="Gib hier deinen Nachnamen ein!" errorTitle="Nachname zu lang oder zu kurz!" error="Nachnamen, die kürzer als 4 oder länger als 20 Zeichen sind, werden im Zeugnis nicht so schön dargestellt." sqref="B5">
      <formula1>4</formula1>
      <formula2>20</formula2>
    </dataValidation>
    <dataValidation operator="equal" allowBlank="1" showInputMessage="1" promptTitle="Geburtsort" prompt="Gib hier den Ort an, wo du das Licht der Welt erblickt hast." sqref="B6">
      <formula1>0</formula1>
    </dataValidation>
    <dataValidation errorStyle="warning" type="list" operator="equal" showInputMessage="1" showErrorMessage="1" promptTitle="Geschlecht" prompt="Gib hier &quot;m&quot; ein, wenn du ein Junge/Mann bist, bist du ein Mädchen/eine Frau, gib &quot;w&quot; ein." errorTitle="Falsche Eingabe!" error="&quot;M&quot; oder &quot;W&quot;. Ist das so schwer? Oder kannst du dich nicht entscheiden? So schwer wird's doch nicht sein ..." sqref="B7">
      <formula1>"m,w"</formula1>
    </dataValidation>
    <dataValidation type="list" operator="equal" allowBlank="1" showInputMessage="1" promptTitle="Religion" prompt="Gib hier ein, welchen Religionsunterricht du in der Schule hast.&#10;&quot;rk&quot; für Katholische; &quot;ev&quot; für evangelische Religionslehre oder &quot;eth&quot; für Ethik.&#10;Bei anderen Unterrichtsformen diese als ganzen Text in diese Zelle eingeben (z. B. &quot;Teufelsverehrer&quot;)." sqref="B8">
      <formula1>"rk,ev,eth"</formula1>
    </dataValidation>
    <dataValidation operator="equal" allowBlank="1" showInputMessage="1" promptTitle="Schulnamen" prompt="Gib hier den Namen deiner Schule ein, ohne die Bezeichnung der Schulart; z.B. &quot;Bernhard-Strigel-&quot; für Bernhard-Strigel-Gymnasium. Hat die Schule gar keinen besonderen Namen, lass die Zelle frei." sqref="B9">
      <formula1>0</formula1>
    </dataValidation>
    <dataValidation type="list" operator="equal" allowBlank="1" showInputMessage="1" promptTitle="Schulart" prompt="Gib hier die Schulart, wie z.B. Gymnasium, Realschule, Hauptschule , ... ein." sqref="B10">
      <formula1>"Gymnasium,Realschule,Hauptschule,Gesamtschule"</formula1>
    </dataValidation>
    <dataValidation operator="equal" allowBlank="1" showInputMessage="1" promptTitle="Schulort" prompt="Gib hier den Ort der Schule ein." sqref="B11">
      <formula1>0</formula1>
    </dataValidation>
    <dataValidation operator="equal" allowBlank="1" showInputMessage="1" promptTitle="Klasse" prompt="Gib in diese Zelle ein, welche Klasse du besuchst." sqref="B12">
      <formula1>0</formula1>
    </dataValidation>
    <dataValidation errorStyle="information" type="list" operator="equal" allowBlank="1" showInputMessage="1" showErrorMessage="1" promptTitle="Schulleiter/in" prompt="Gib hier Herr oder Frau ein." errorTitle="Fehler!" error="&quot;Herr&quot; oder &quot;Frau&quot; eingeben." sqref="B13:B14">
      <formula1>"Herr,Frau"</formula1>
    </dataValidation>
    <dataValidation operator="equal" allowBlank="1" showInputMessage="1" promptTitle="Schulleiter/in" prompt="Gib hier den Vornamen deines Schulleiters ein." sqref="C13">
      <formula1>0</formula1>
    </dataValidation>
    <dataValidation operator="equal" allowBlank="1" showInputMessage="1" promptTitle="Schulleiter/in" prompt="Gib hier den Nachnamen deines Schulleiters ein." sqref="D13">
      <formula1>0</formula1>
    </dataValidation>
    <dataValidation operator="equal" allowBlank="1" showInputMessage="1" promptTitle="Schulleiter/in" prompt="Gib hier den Berufsstand deines Schulleiters ein, z.B. OStD." sqref="E13">
      <formula1>0</formula1>
    </dataValidation>
    <dataValidation operator="equal" allowBlank="1" showInputMessage="1" promptTitle="Klassenleiter/in" prompt="Gib hier den Vornamen deines Klassenleiters ein." sqref="C14">
      <formula1>0</formula1>
    </dataValidation>
    <dataValidation operator="equal" allowBlank="1" showInputMessage="1" promptTitle="Klassenleiter/in" prompt="Gib hier den Nachnamen deines Klassenleiters ein." sqref="D14">
      <formula1>0</formula1>
    </dataValidation>
    <dataValidation operator="equal" allowBlank="1" showInputMessage="1" promptTitle="Klassenleiter/in" prompt="Gib hier den Berufsstand deines Schulleiters ein, z.B. OStR oder StR." sqref="E14">
      <formula1>0</formula1>
    </dataValidation>
    <dataValidation operator="equal" allowBlank="1" showInputMessage="1" promptTitle="Wahlkurs 1" prompt="Gib hier den ersten Wahlkurs ein, den du besucht hast. Hast du überhaupt keinen Wahlkurs besucht, lass die Zelle frei." sqref="B15">
      <formula1>0</formula1>
    </dataValidation>
    <dataValidation operator="equal" allowBlank="1" showInputMessage="1" promptTitle="Wahlkurs 2" prompt="Gib hier den zweiten Wahlkurs ein, den du besucht hast. Hast du überhaupt keinen oder nur einen Wahlkurs besucht, lass die Zelle frei." sqref="B16">
      <formula1>0</formula1>
    </dataValidation>
    <dataValidation operator="equal" allowBlank="1" showInputMessage="1" promptTitle="Wahlkurs 3" prompt="Gib hier den dritten Wahlkurs ein, den du besucht hast. Hast du überhaupt keinen, einen Wahlkurs oder zwei besucht, lass die Zelle frei." sqref="B17">
      <formula1>0</formula1>
    </dataValidation>
    <dataValidation errorStyle="information" operator="equal" allowBlank="1" showInputMessage="1" showErrorMessage="1" promptTitle="Geburtsdatum" prompt="Gib an, wann du geboren bist. Excel/OOo erkennt z.B. 1.1.87, 1.1.1987, 01.01.1987, 1. JAN 87 usw. " errorTitle="So alt?" error="Über 33 und noch immer Schüler ... kann doch nicht sein!" sqref="B18">
      <formula1>0</formula1>
    </dataValidation>
    <dataValidation type="list" operator="equal" allowBlank="1" promptTitle="Tutor" sqref="B19">
      <formula1>"ja,nein"</formula1>
    </dataValidation>
    <dataValidation errorStyle="information" type="list" operator="equal" allowBlank="1" showInputMessage="1" showErrorMessage="1" promptTitle="Zeugnisvorschau" prompt="Bitte aus der Liste auswählen" errorTitle="Fehler!" error="Bitte aus der Liste auswählen" sqref="B24">
      <formula1>"Zwischenzeugnis,Jahreszeugnis"</formula1>
    </dataValidation>
    <dataValidation errorStyle="information" type="list" operator="equal" showInputMessage="1" showErrorMessage="1" promptTitle="Zeugnisunterschriften" prompt="Gib hier 1 ein für 1. Buchstaben vom Vornamen + Nachnamen; 2 für ganzer Vornamen + ganzer Nachnamen oder 3 für nur den Nachnamen." errorTitle="Falsche Eingabe!" error="1, 2 oder 3! So schwer isses doch nicht!" sqref="B25">
      <formula1>"1,2,3"</formula1>
    </dataValidation>
    <dataValidation errorStyle="information" type="list" operator="equal" allowBlank="1" showInputMessage="1" showErrorMessage="1" promptTitle="Note als ..." prompt="Sollen die Noten im Zwischenzeugnis als Zahl (1) oder als Wort (sehr gut) erscheinen?&#10;&quot;Zahl&quot; oder &quot;Wort&quot; eingeben!" errorTitle="Fehler!" error="&quot;Wort&quot; oder &quot;Zahl&quot; eingeben!" sqref="D32">
      <formula1>"Wort,Zahl"</formula1>
    </dataValidation>
    <dataValidation errorStyle="information" type="list" operator="equal" allowBlank="1" showInputMessage="1" showErrorMessage="1" promptTitle="Note als ..." prompt="Sollen die Noten im Jahreszeugnis als Zahl (1) oder als Wort (sehr gut) erscheinen?&#10;&quot;Zahl&quot; oder &quot;Wort&quot; eingeben!" errorTitle="Fehler!" error="&quot;Wort&quot; oder &quot;Zahl&quot; eingeben!" sqref="D35">
      <formula1>"Wort,Zahl"</formula1>
    </dataValidation>
    <dataValidation errorStyle="information" type="list" operator="equal" allowBlank="1" showInputMessage="1" showErrorMessage="1" promptTitle="Vorrückungsvermerk" prompt="Soll der Vorrückungsvermerk im Zeugnis angezeigt werden?&#10;ja oder nein eingeben!" errorTitle="Fehler!" error="&quot;ja&quot; oder &quot;nein&quot; eingeben!" sqref="B43">
      <formula1>"ja,nein"</formula1>
    </dataValidation>
    <dataValidation operator="equal" allowBlank="1" showInputMessage="1" promptTitle="Schriftliche Prüfungen" prompt="Gib hier die Bezeichnung für schriftliche Prüfungen an, z. B. Schulaufgaben, Klausuren" sqref="B46">
      <formula1>0</formula1>
    </dataValidation>
    <dataValidation operator="equal" allowBlank="1" showInputMessage="1" promptTitle="Mündliche Prüfungen" prompt="Gib hier die Bezeichnung für die erste Art mündlicher Prüfungen an, z. B. Exen, Kurzkontrollen" sqref="B47">
      <formula1>0</formula1>
    </dataValidation>
    <dataValidation operator="equal" allowBlank="1" showInputMessage="1" promptTitle="Mündliche Prüfungen" prompt="Gib hier die Bezeichnung für die zweite Art mündlicher Prüfungen an, z. B. Abfragen, Referate" sqref="B48">
      <formula1>0</formula1>
    </dataValidation>
    <dataValidation operator="equal" allowBlank="1" showInputMessage="1" promptTitle="Mündliche Prüfungen" prompt="Gib hier die Bezeichnung für die dritte Art mündlicher Prüfungen an, z. B. Mitarbeit" sqref="B49">
      <formula1>0</formula1>
    </dataValidation>
    <dataValidation type="whole" operator="greaterThan" allowBlank="1" showInputMessage="1" showErrorMessage="1" promptTitle="Höchste Note" prompt="Gib hier die höchstmögliche Note als Zahl ein, z. B. 5 oder 6." errorTitle="5 oder 6" error="Die höchstmögliche Note kann nur 5 oder 6 sein." sqref="B53">
      <formula1>4</formula1>
    </dataValidation>
    <dataValidation operator="equal" allowBlank="1" showInputMessage="1" promptTitle="Adjektiv 1" sqref="B26">
      <formula1>0</formula1>
    </dataValidation>
    <dataValidation operator="equal" allowBlank="1" showInputMessage="1" promptTitle="Adjektiv 2" sqref="B27">
      <formula1>0</formula1>
    </dataValidation>
    <dataValidation operator="equal" allowBlank="1" showInputMessage="1" promptTitle="Adjektiv 3" sqref="B28">
      <formula1>0</formula1>
    </dataValidation>
    <dataValidation operator="equal" allowBlank="1" showInputMessage="1" promptTitle="Wohnort" sqref="B29">
      <formula1>0</formula1>
    </dataValidation>
  </dataValidation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V267"/>
  <sheetViews>
    <sheetView showGridLines="0" workbookViewId="0" topLeftCell="A1">
      <selection activeCell="R155" sqref="R155"/>
    </sheetView>
  </sheetViews>
  <sheetFormatPr defaultColWidth="9.8515625" defaultRowHeight="12.75"/>
  <cols>
    <col min="1" max="1" width="19.140625" style="0" customWidth="1"/>
    <col min="2" max="2" width="4.28125" style="0" customWidth="1"/>
    <col min="3" max="12" width="3.00390625" style="0" customWidth="1"/>
    <col min="13" max="13" width="15.28125" style="0" customWidth="1"/>
    <col min="14" max="14" width="5.28125" style="0" customWidth="1"/>
    <col min="15" max="15" width="4.8515625" style="0" customWidth="1"/>
    <col min="16" max="16" width="2.28125" style="0" customWidth="1"/>
    <col min="17" max="19" width="9.8515625" style="0" customWidth="1"/>
    <col min="20" max="34" width="0" style="0" hidden="1" customWidth="1"/>
  </cols>
  <sheetData>
    <row r="1" spans="1:256" s="39" customFormat="1" ht="15" customHeight="1">
      <c r="A1" s="38" t="str">
        <f>IF(Optionen!B8="rk","Religionslehre (r.-k.)",IF(Optionen!B8="ev","Religionslehre (ev.-luth.)","Ethik"))</f>
        <v>Ethik</v>
      </c>
      <c r="C1" s="40"/>
      <c r="D1" s="40"/>
      <c r="E1" s="40"/>
      <c r="F1" s="40"/>
      <c r="G1" s="40"/>
      <c r="H1" s="40"/>
      <c r="I1" s="40"/>
      <c r="J1" s="40"/>
      <c r="K1" s="40"/>
      <c r="L1" s="40"/>
      <c r="T1" s="39">
        <v>1</v>
      </c>
      <c r="U1" s="39">
        <v>2</v>
      </c>
      <c r="V1" s="39">
        <v>3</v>
      </c>
      <c r="W1" s="39">
        <v>4</v>
      </c>
      <c r="X1" s="39">
        <v>5</v>
      </c>
      <c r="Y1" s="39">
        <v>6</v>
      </c>
      <c r="IU1" s="41"/>
      <c r="IV1" s="41"/>
    </row>
    <row r="2" spans="1:256" s="39" customFormat="1" ht="12.75">
      <c r="A2" s="90" t="str">
        <f>Optionen!B46&amp;":"</f>
        <v>Arbeiten:</v>
      </c>
      <c r="B2" s="90"/>
      <c r="C2" s="42"/>
      <c r="D2" s="42"/>
      <c r="E2" s="42"/>
      <c r="F2" s="42"/>
      <c r="G2" s="42"/>
      <c r="H2" s="42"/>
      <c r="I2" s="42"/>
      <c r="J2" s="42"/>
      <c r="K2" s="42"/>
      <c r="L2" s="42"/>
      <c r="M2" s="43" t="s">
        <v>78</v>
      </c>
      <c r="N2" s="44">
        <f>IF(COUNT(C2:L2)&gt;0,ROUND(((SUM(C2:L2)/COUNT(C2:L2))-0.004),2),0)</f>
        <v>0</v>
      </c>
      <c r="O2" s="39" t="s">
        <v>79</v>
      </c>
      <c r="P2" s="45">
        <v>1</v>
      </c>
      <c r="Q2" s="39" t="s">
        <v>80</v>
      </c>
      <c r="IU2" s="41"/>
      <c r="IV2" s="41"/>
    </row>
    <row r="3" spans="1:256" s="39" customFormat="1" ht="12.75">
      <c r="A3" s="90" t="str">
        <f>Optionen!B47&amp;":"</f>
        <v>HÜ:</v>
      </c>
      <c r="B3" s="90"/>
      <c r="C3" s="42"/>
      <c r="D3" s="42"/>
      <c r="E3" s="42"/>
      <c r="F3" s="42"/>
      <c r="G3" s="42"/>
      <c r="H3" s="42"/>
      <c r="I3" s="42"/>
      <c r="J3" s="42"/>
      <c r="K3" s="42"/>
      <c r="L3" s="42"/>
      <c r="M3" s="46"/>
      <c r="N3" s="47"/>
      <c r="IU3" s="41"/>
      <c r="IV3" s="41"/>
    </row>
    <row r="4" spans="1:256" s="39" customFormat="1" ht="12.75">
      <c r="A4" s="90" t="str">
        <f>Optionen!B48&amp;":"</f>
        <v>Ausfragen / Referate:</v>
      </c>
      <c r="B4" s="90"/>
      <c r="C4" s="42"/>
      <c r="D4" s="42"/>
      <c r="E4" s="42"/>
      <c r="F4" s="42"/>
      <c r="G4" s="42"/>
      <c r="H4" s="42"/>
      <c r="I4" s="42"/>
      <c r="J4" s="42"/>
      <c r="K4" s="42"/>
      <c r="L4" s="42"/>
      <c r="M4" s="46"/>
      <c r="N4" s="47"/>
      <c r="IU4" s="41"/>
      <c r="IV4" s="41"/>
    </row>
    <row r="5" spans="1:256" s="39" customFormat="1" ht="12.75">
      <c r="A5" s="90" t="str">
        <f>Optionen!B49&amp;":"</f>
        <v>Mitarbeitsnoten:</v>
      </c>
      <c r="B5" s="90"/>
      <c r="C5" s="42"/>
      <c r="D5" s="42"/>
      <c r="E5" s="42"/>
      <c r="F5" s="42"/>
      <c r="G5" s="42"/>
      <c r="H5" s="42"/>
      <c r="I5" s="42"/>
      <c r="J5" s="42"/>
      <c r="K5" s="42"/>
      <c r="L5" s="42"/>
      <c r="M5" s="43" t="s">
        <v>81</v>
      </c>
      <c r="N5" s="44">
        <f>IF(COUNT(C3:L5)&gt;0,ROUND(((SUM(C3:L5)/COUNT(C3:L5))-0.004),2),0)</f>
        <v>0</v>
      </c>
      <c r="O5" s="39" t="s">
        <v>79</v>
      </c>
      <c r="P5" s="45">
        <v>2</v>
      </c>
      <c r="Q5" s="39" t="s">
        <v>80</v>
      </c>
      <c r="IU5" s="41"/>
      <c r="IV5" s="41"/>
    </row>
    <row r="6" spans="1:256" s="39" customFormat="1" ht="12.75">
      <c r="A6" s="43" t="s">
        <v>82</v>
      </c>
      <c r="B6" s="44" t="str">
        <f>IF(IF(P2=0,IF(COUNT(C2:L5)&gt;0,ROUND(((SUM(C2:L5)/COUNT(C2:L5))-0.004),2),0),IF(N2=0,N5,IF(N5=0,N2,TRUNC((P2*N2+P5*N5)/(P2+P5),2))))=0,"-----",IF(P2=0,IF(COUNT(C2:L5)&gt;0,ROUND(((SUM(C2:L5)/COUNT(C2:L5))-0.004),2),0),IF(N2=0,N5,IF(N5=0,N2,TRUNC((P2*N2+P5*N5)/(P2+P5),2)))))</f>
        <v>-----</v>
      </c>
      <c r="C6" s="91" t="s">
        <v>83</v>
      </c>
      <c r="D6" s="91"/>
      <c r="E6" s="91"/>
      <c r="F6" s="91"/>
      <c r="G6" s="48" t="str">
        <f>IF(B6="-----","---",ROUND(B6-0.000001,0))</f>
        <v>---</v>
      </c>
      <c r="H6" s="46"/>
      <c r="I6" s="46"/>
      <c r="J6" s="46"/>
      <c r="K6" s="46"/>
      <c r="L6" s="46"/>
      <c r="M6" s="43" t="s">
        <v>84</v>
      </c>
      <c r="N6" s="44" t="s">
        <v>67</v>
      </c>
      <c r="T6" s="39">
        <f>COUNTIF(C2:L5,T$1)</f>
        <v>0</v>
      </c>
      <c r="U6" s="39">
        <f>COUNTIF(C2:L5,U$1)</f>
        <v>0</v>
      </c>
      <c r="V6" s="39">
        <f>COUNTIF(C2:L5,V$1)</f>
        <v>0</v>
      </c>
      <c r="W6" s="39">
        <f>COUNTIF(C2:L5,W$1)</f>
        <v>0</v>
      </c>
      <c r="X6" s="39">
        <f>COUNTIF(C2:L5,X$1)</f>
        <v>0</v>
      </c>
      <c r="Y6" s="39">
        <f>COUNTIF(C2:L5,Y$1)</f>
        <v>0</v>
      </c>
      <c r="IU6" s="41"/>
      <c r="IV6" s="41"/>
    </row>
    <row r="7" spans="3:256" s="39" customFormat="1" ht="12.75">
      <c r="C7" s="40"/>
      <c r="D7" s="40"/>
      <c r="E7" s="40"/>
      <c r="F7" s="40"/>
      <c r="G7" s="40"/>
      <c r="H7" s="40"/>
      <c r="I7" s="40"/>
      <c r="J7" s="40"/>
      <c r="K7" s="40"/>
      <c r="L7" s="40"/>
      <c r="IU7" s="41"/>
      <c r="IV7" s="41"/>
    </row>
    <row r="8" spans="1:256" s="39" customFormat="1" ht="15" customHeight="1">
      <c r="A8" s="49" t="s">
        <v>85</v>
      </c>
      <c r="B8" s="50"/>
      <c r="C8" s="51"/>
      <c r="D8" s="40"/>
      <c r="E8" s="40"/>
      <c r="F8" s="40"/>
      <c r="G8" s="40"/>
      <c r="H8" s="40"/>
      <c r="I8" s="40"/>
      <c r="J8" s="40"/>
      <c r="K8" s="40"/>
      <c r="L8" s="40"/>
      <c r="IU8" s="41"/>
      <c r="IV8" s="41"/>
    </row>
    <row r="9" spans="1:256" s="39" customFormat="1" ht="12.75">
      <c r="A9" s="90" t="str">
        <f>Optionen!B46&amp;":"</f>
        <v>Arbeiten:</v>
      </c>
      <c r="B9" s="90"/>
      <c r="C9" s="42"/>
      <c r="D9" s="42"/>
      <c r="E9" s="42"/>
      <c r="F9" s="42"/>
      <c r="G9" s="42"/>
      <c r="H9" s="42"/>
      <c r="I9" s="42"/>
      <c r="J9" s="42"/>
      <c r="K9" s="42"/>
      <c r="L9" s="42"/>
      <c r="M9" s="43" t="s">
        <v>78</v>
      </c>
      <c r="N9" s="44">
        <f>IF(COUNT(C9:L9)&gt;0,ROUND(((SUM(C9:L9)/COUNT(C9:L9))-0.004),2),0)</f>
        <v>0</v>
      </c>
      <c r="O9" s="39" t="s">
        <v>79</v>
      </c>
      <c r="P9" s="45">
        <v>1</v>
      </c>
      <c r="Q9" s="39" t="s">
        <v>80</v>
      </c>
      <c r="IU9" s="41"/>
      <c r="IV9" s="41"/>
    </row>
    <row r="10" spans="1:256" s="39" customFormat="1" ht="12.75">
      <c r="A10" s="90" t="str">
        <f>Optionen!B47&amp;":"</f>
        <v>HÜ:</v>
      </c>
      <c r="B10" s="90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6"/>
      <c r="N10" s="47"/>
      <c r="IU10" s="41"/>
      <c r="IV10" s="41"/>
    </row>
    <row r="11" spans="1:256" s="39" customFormat="1" ht="12.75">
      <c r="A11" s="90" t="str">
        <f>Optionen!B48&amp;":"</f>
        <v>Ausfragen / Referate:</v>
      </c>
      <c r="B11" s="90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6"/>
      <c r="N11" s="47"/>
      <c r="IU11" s="41"/>
      <c r="IV11" s="41"/>
    </row>
    <row r="12" spans="1:256" s="39" customFormat="1" ht="12.75">
      <c r="A12" s="90" t="str">
        <f>Optionen!B49&amp;":"</f>
        <v>Mitarbeitsnoten:</v>
      </c>
      <c r="B12" s="90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3" t="s">
        <v>81</v>
      </c>
      <c r="N12" s="44">
        <f>IF(COUNT(C10:L12)&gt;0,ROUND(((SUM(C10:L12)/COUNT(C10:L12))-0.004),2),0)</f>
        <v>0</v>
      </c>
      <c r="O12" s="39" t="s">
        <v>79</v>
      </c>
      <c r="P12" s="45">
        <v>1</v>
      </c>
      <c r="Q12" s="39" t="s">
        <v>80</v>
      </c>
      <c r="IU12" s="41"/>
      <c r="IV12" s="41"/>
    </row>
    <row r="13" spans="1:256" s="39" customFormat="1" ht="12.75">
      <c r="A13" s="43" t="s">
        <v>82</v>
      </c>
      <c r="B13" s="44" t="str">
        <f>IF(IF(P9=0,IF(COUNT(C9:L12)&gt;0,ROUND(((SUM(C9:L12)/COUNT(C9:L12))-0.004),2),0),IF(N9=0,N12,IF(N12=0,N9,TRUNC((P9*N9+P12*N12)/(P9+P12),2))))=0,"-----",IF(P9=0,IF(COUNT(C9:L12)&gt;0,ROUND(((SUM(C9:L12)/COUNT(C9:L12))-0.004),2),0),IF(N9=0,N12,IF(N12=0,N9,TRUNC((P9*N9+P12*N12)/(P9+P12),2)))))</f>
        <v>-----</v>
      </c>
      <c r="C13" s="91" t="s">
        <v>83</v>
      </c>
      <c r="D13" s="91"/>
      <c r="E13" s="91"/>
      <c r="F13" s="91"/>
      <c r="G13" s="48" t="str">
        <f>IF(B13="-----","---",ROUND(B13-0.000001,0))</f>
        <v>---</v>
      </c>
      <c r="H13" s="52"/>
      <c r="I13" s="52"/>
      <c r="J13" s="52"/>
      <c r="K13" s="52"/>
      <c r="L13" s="52"/>
      <c r="M13" s="43" t="s">
        <v>84</v>
      </c>
      <c r="N13" s="44" t="s">
        <v>67</v>
      </c>
      <c r="T13" s="39">
        <f>COUNTIF(C9:L12,T$1)</f>
        <v>0</v>
      </c>
      <c r="U13" s="39">
        <f>COUNTIF(C9:L12,U$1)</f>
        <v>0</v>
      </c>
      <c r="V13" s="39">
        <f>COUNTIF(C9:L12,V$1)</f>
        <v>0</v>
      </c>
      <c r="W13" s="39">
        <f>COUNTIF(C9:L12,W$1)</f>
        <v>0</v>
      </c>
      <c r="X13" s="39">
        <f>COUNTIF(C9:L12,X$1)</f>
        <v>0</v>
      </c>
      <c r="Y13" s="39">
        <f>COUNTIF(C9:L12,Y$1)</f>
        <v>0</v>
      </c>
      <c r="IU13" s="41"/>
      <c r="IV13" s="41"/>
    </row>
    <row r="14" spans="2:256" s="39" customFormat="1" ht="12.75">
      <c r="B14" s="53"/>
      <c r="C14" s="40"/>
      <c r="D14" s="40"/>
      <c r="E14" s="40"/>
      <c r="F14" s="40"/>
      <c r="G14" s="40"/>
      <c r="H14" s="40"/>
      <c r="I14" s="40"/>
      <c r="J14" s="40"/>
      <c r="K14" s="40"/>
      <c r="L14" s="40"/>
      <c r="N14" s="54"/>
      <c r="IU14" s="41"/>
      <c r="IV14" s="41"/>
    </row>
    <row r="15" spans="1:256" s="39" customFormat="1" ht="12.75">
      <c r="A15" s="49" t="s">
        <v>86</v>
      </c>
      <c r="B15" s="51"/>
      <c r="C15" s="51"/>
      <c r="D15" s="40"/>
      <c r="E15" s="40"/>
      <c r="F15" s="40"/>
      <c r="G15" s="40"/>
      <c r="H15" s="40"/>
      <c r="I15" s="40"/>
      <c r="J15" s="40"/>
      <c r="K15" s="40"/>
      <c r="L15" s="40"/>
      <c r="P15" s="55"/>
      <c r="Q15" s="55"/>
      <c r="R15" s="55"/>
      <c r="S15" s="55"/>
      <c r="T15" s="55"/>
      <c r="U15" s="55"/>
      <c r="IU15" s="41"/>
      <c r="IV15" s="41"/>
    </row>
    <row r="16" spans="1:256" s="39" customFormat="1" ht="12.75" customHeight="1">
      <c r="A16" s="90" t="str">
        <f>Optionen!B46&amp;":"</f>
        <v>Arbeiten:</v>
      </c>
      <c r="B16" s="90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3" t="s">
        <v>78</v>
      </c>
      <c r="N16" s="44">
        <f>IF(COUNT(C16:L16)&gt;0,ROUND(((SUM(C16:L16)/COUNT(C16:L16))-0.004),2),0)</f>
        <v>0</v>
      </c>
      <c r="O16" s="39" t="s">
        <v>79</v>
      </c>
      <c r="P16" s="45">
        <v>1</v>
      </c>
      <c r="Q16" s="39" t="s">
        <v>80</v>
      </c>
      <c r="R16" s="56"/>
      <c r="S16" s="56"/>
      <c r="IU16" s="41"/>
      <c r="IV16" s="41"/>
    </row>
    <row r="17" spans="1:256" s="39" customFormat="1" ht="12.75" customHeight="1">
      <c r="A17" s="90" t="str">
        <f>Optionen!B47&amp;":"</f>
        <v>HÜ:</v>
      </c>
      <c r="B17" s="90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6"/>
      <c r="N17" s="47"/>
      <c r="R17" s="56"/>
      <c r="S17" s="56"/>
      <c r="IU17" s="41"/>
      <c r="IV17" s="41"/>
    </row>
    <row r="18" spans="1:256" s="39" customFormat="1" ht="12.75" customHeight="1">
      <c r="A18" s="90" t="str">
        <f>Optionen!B48&amp;":"</f>
        <v>Ausfragen / Referate:</v>
      </c>
      <c r="B18" s="90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6"/>
      <c r="N18" s="47"/>
      <c r="R18" s="56"/>
      <c r="S18" s="56"/>
      <c r="IU18" s="41"/>
      <c r="IV18" s="41"/>
    </row>
    <row r="19" spans="1:256" s="39" customFormat="1" ht="12.75" customHeight="1">
      <c r="A19" s="90" t="str">
        <f>Optionen!B49&amp;":"</f>
        <v>Mitarbeitsnoten:</v>
      </c>
      <c r="B19" s="90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3" t="s">
        <v>81</v>
      </c>
      <c r="N19" s="44">
        <f>IF(COUNT(C17:L19)&gt;0,ROUND(((SUM(C17:L19)/COUNT(C17:L19))-0.004),2),0)</f>
        <v>0</v>
      </c>
      <c r="O19" s="39" t="s">
        <v>79</v>
      </c>
      <c r="P19" s="45">
        <v>1</v>
      </c>
      <c r="Q19" s="39" t="s">
        <v>80</v>
      </c>
      <c r="R19" s="56"/>
      <c r="S19" s="56"/>
      <c r="IU19" s="41"/>
      <c r="IV19" s="41"/>
    </row>
    <row r="20" spans="1:256" s="39" customFormat="1" ht="12.75">
      <c r="A20" s="43" t="s">
        <v>82</v>
      </c>
      <c r="B20" s="44" t="str">
        <f>IF(IF(P16=0,IF(COUNT(C16:L19)&gt;0,ROUND(((SUM(C16:L19)/COUNT(C16:L19))-0.004),2),0),IF(N16=0,N19,IF(N19=0,N16,TRUNC((P16*N16+P19*N19)/(P16+P19),2))))=0,"-----",IF(P16=0,IF(COUNT(C16:L19)&gt;0,ROUND(((SUM(C16:L19)/COUNT(C16:L19))-0.004),2),0),IF(N16=0,N19,IF(N19=0,N16,TRUNC((P16*N16+P19*N19)/(P16+P19),2)))))</f>
        <v>-----</v>
      </c>
      <c r="C20" s="91" t="s">
        <v>83</v>
      </c>
      <c r="D20" s="91"/>
      <c r="E20" s="91"/>
      <c r="F20" s="91"/>
      <c r="G20" s="48" t="str">
        <f>IF(B20="-----","---",ROUND(B20-0.000001,0))</f>
        <v>---</v>
      </c>
      <c r="H20" s="52"/>
      <c r="I20" s="52"/>
      <c r="J20" s="52"/>
      <c r="K20" s="52"/>
      <c r="L20" s="52"/>
      <c r="M20" s="43" t="s">
        <v>84</v>
      </c>
      <c r="N20" s="44" t="s">
        <v>67</v>
      </c>
      <c r="R20" s="56"/>
      <c r="S20" s="56"/>
      <c r="T20" s="39">
        <f>COUNTIF(C16:L19,T$1)</f>
        <v>0</v>
      </c>
      <c r="U20" s="39">
        <f>COUNTIF(C16:L19,U$1)</f>
        <v>0</v>
      </c>
      <c r="V20" s="39">
        <f>COUNTIF(C16:L19,V$1)</f>
        <v>0</v>
      </c>
      <c r="W20" s="39">
        <f>COUNTIF(C16:L19,W$1)</f>
        <v>0</v>
      </c>
      <c r="X20" s="39">
        <f>COUNTIF(C16:L19,X$1)</f>
        <v>0</v>
      </c>
      <c r="Y20" s="39">
        <f>COUNTIF(C16:L19,Y$1)</f>
        <v>0</v>
      </c>
      <c r="IU20" s="41"/>
      <c r="IV20" s="41"/>
    </row>
    <row r="21" spans="3:256" s="39" customFormat="1" ht="12.75">
      <c r="C21" s="40"/>
      <c r="D21" s="40"/>
      <c r="E21" s="40"/>
      <c r="F21" s="40"/>
      <c r="G21" s="40"/>
      <c r="H21" s="40"/>
      <c r="I21" s="40"/>
      <c r="J21" s="40"/>
      <c r="K21" s="40"/>
      <c r="L21" s="40"/>
      <c r="N21" s="54"/>
      <c r="P21" s="56"/>
      <c r="Q21" s="56"/>
      <c r="R21" s="56"/>
      <c r="S21" s="56"/>
      <c r="IU21" s="41"/>
      <c r="IV21" s="41"/>
    </row>
    <row r="22" spans="1:256" s="39" customFormat="1" ht="12.75">
      <c r="A22" s="49" t="s">
        <v>87</v>
      </c>
      <c r="B22" s="50"/>
      <c r="C22" s="51"/>
      <c r="D22" s="40"/>
      <c r="E22" s="40"/>
      <c r="F22" s="40"/>
      <c r="G22" s="40"/>
      <c r="H22" s="40"/>
      <c r="I22" s="40"/>
      <c r="J22" s="40"/>
      <c r="K22" s="40"/>
      <c r="L22" s="40"/>
      <c r="P22" s="56"/>
      <c r="Q22" s="56"/>
      <c r="R22" s="56"/>
      <c r="S22" s="56"/>
      <c r="IU22" s="41"/>
      <c r="IV22" s="41"/>
    </row>
    <row r="23" spans="1:256" s="39" customFormat="1" ht="12.75" customHeight="1">
      <c r="A23" s="90" t="str">
        <f>Optionen!B46&amp;":"</f>
        <v>Arbeiten:</v>
      </c>
      <c r="B23" s="90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3" t="s">
        <v>78</v>
      </c>
      <c r="N23" s="44">
        <f>IF(COUNT(C23:L23)&gt;0,ROUND(((SUM(C23:L23)/COUNT(C23:L23))-0.004),2),0)</f>
        <v>0</v>
      </c>
      <c r="O23" s="39" t="s">
        <v>79</v>
      </c>
      <c r="P23" s="45">
        <v>2</v>
      </c>
      <c r="Q23" s="39" t="s">
        <v>80</v>
      </c>
      <c r="R23" s="56"/>
      <c r="S23" s="56"/>
      <c r="IU23" s="41"/>
      <c r="IV23" s="41"/>
    </row>
    <row r="24" spans="1:256" s="39" customFormat="1" ht="12.75" customHeight="1">
      <c r="A24" s="90" t="str">
        <f>Optionen!B47&amp;":"</f>
        <v>HÜ:</v>
      </c>
      <c r="B24" s="90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6"/>
      <c r="N24" s="47"/>
      <c r="R24" s="56"/>
      <c r="S24" s="56"/>
      <c r="IU24" s="41"/>
      <c r="IV24" s="41"/>
    </row>
    <row r="25" spans="1:256" s="39" customFormat="1" ht="12.75">
      <c r="A25" s="90" t="str">
        <f>Optionen!B48&amp;":"</f>
        <v>Ausfragen / Referate:</v>
      </c>
      <c r="B25" s="90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6"/>
      <c r="N25" s="47"/>
      <c r="R25" s="56"/>
      <c r="S25" s="56"/>
      <c r="IU25" s="41"/>
      <c r="IV25" s="41"/>
    </row>
    <row r="26" spans="1:256" s="39" customFormat="1" ht="12.75" customHeight="1">
      <c r="A26" s="90" t="str">
        <f>Optionen!B49&amp;":"</f>
        <v>Mitarbeitsnoten:</v>
      </c>
      <c r="B26" s="90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3" t="s">
        <v>81</v>
      </c>
      <c r="N26" s="44">
        <f>IF(COUNT(C24:L26)&gt;0,ROUND(((SUM(C24:L26)/COUNT(C24:L26))-0.004),2),0)</f>
        <v>0</v>
      </c>
      <c r="O26" s="39" t="s">
        <v>79</v>
      </c>
      <c r="P26" s="45">
        <v>1</v>
      </c>
      <c r="Q26" s="39" t="s">
        <v>80</v>
      </c>
      <c r="R26" s="56"/>
      <c r="S26" s="56"/>
      <c r="IU26" s="41"/>
      <c r="IV26" s="41"/>
    </row>
    <row r="27" spans="1:256" s="39" customFormat="1" ht="12.75" customHeight="1">
      <c r="A27" s="43" t="s">
        <v>82</v>
      </c>
      <c r="B27" s="44" t="str">
        <f>IF(IF(P23=0,IF(COUNT(C23:L26)&gt;0,ROUND(((SUM(C23:L26)/COUNT(C23:L26))-0.004),2),0),IF(N23=0,N26,IF(N26=0,N23,TRUNC((P23*N23+P26*N26)/(P23+P26),2))))=0,"-----",IF(P23=0,IF(COUNT(C23:L26)&gt;0,ROUND(((SUM(C23:L26)/COUNT(C23:L26))-0.004),2),0),IF(N23=0,N26,IF(N26=0,N23,TRUNC((P23*N23+P26*N26)/(P23+P26),2)))))</f>
        <v>-----</v>
      </c>
      <c r="C27" s="91" t="s">
        <v>83</v>
      </c>
      <c r="D27" s="91"/>
      <c r="E27" s="91"/>
      <c r="F27" s="91"/>
      <c r="G27" s="48" t="str">
        <f>IF(B27="-----","---",ROUND(B27-0.000001,0))</f>
        <v>---</v>
      </c>
      <c r="H27" s="52"/>
      <c r="I27" s="52"/>
      <c r="J27" s="52"/>
      <c r="K27" s="52"/>
      <c r="L27" s="52"/>
      <c r="M27" s="43" t="s">
        <v>84</v>
      </c>
      <c r="N27" s="44" t="s">
        <v>67</v>
      </c>
      <c r="R27" s="56"/>
      <c r="S27" s="56"/>
      <c r="T27" s="39">
        <f>COUNTIF(C23:L26,T$1)</f>
        <v>0</v>
      </c>
      <c r="U27" s="39">
        <f>COUNTIF(C23:L26,U$1)</f>
        <v>0</v>
      </c>
      <c r="V27" s="39">
        <f>COUNTIF(C23:L26,V$1)</f>
        <v>0</v>
      </c>
      <c r="W27" s="39">
        <f>COUNTIF(C23:L26,W$1)</f>
        <v>0</v>
      </c>
      <c r="X27" s="39">
        <f>COUNTIF(C23:L26,X$1)</f>
        <v>0</v>
      </c>
      <c r="Y27" s="39">
        <f>COUNTIF(C23:L26,Y$1)</f>
        <v>0</v>
      </c>
      <c r="IU27" s="41"/>
      <c r="IV27" s="41"/>
    </row>
    <row r="28" spans="3:256" s="39" customFormat="1" ht="12.75" customHeight="1">
      <c r="C28" s="40"/>
      <c r="D28" s="40"/>
      <c r="E28" s="40"/>
      <c r="F28" s="40"/>
      <c r="G28" s="40"/>
      <c r="H28" s="40"/>
      <c r="I28" s="40"/>
      <c r="J28" s="40"/>
      <c r="K28" s="40"/>
      <c r="L28" s="40"/>
      <c r="N28" s="54"/>
      <c r="P28" s="56"/>
      <c r="Q28" s="56"/>
      <c r="R28" s="56"/>
      <c r="S28" s="56"/>
      <c r="IU28" s="41"/>
      <c r="IV28" s="41"/>
    </row>
    <row r="29" spans="1:256" s="39" customFormat="1" ht="12.75">
      <c r="A29" s="49" t="s">
        <v>88</v>
      </c>
      <c r="B29" s="51"/>
      <c r="C29" s="51"/>
      <c r="D29" s="40"/>
      <c r="E29" s="40"/>
      <c r="F29" s="40"/>
      <c r="G29" s="40"/>
      <c r="H29" s="40"/>
      <c r="I29" s="40"/>
      <c r="J29" s="40"/>
      <c r="K29" s="40"/>
      <c r="L29" s="40"/>
      <c r="P29" s="56"/>
      <c r="Q29" s="56"/>
      <c r="R29" s="56"/>
      <c r="S29" s="56"/>
      <c r="IU29" s="41"/>
      <c r="IV29" s="41"/>
    </row>
    <row r="30" spans="1:256" s="39" customFormat="1" ht="12.75" customHeight="1">
      <c r="A30" s="90" t="str">
        <f>Optionen!B46&amp;":"</f>
        <v>Arbeiten:</v>
      </c>
      <c r="B30" s="90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3" t="s">
        <v>78</v>
      </c>
      <c r="N30" s="44">
        <f>IF(COUNT(C30:L30)&gt;0,ROUND(((SUM(C30:L30)/COUNT(C30:L30))-0.004),2),0)</f>
        <v>0</v>
      </c>
      <c r="O30" s="39" t="s">
        <v>79</v>
      </c>
      <c r="P30" s="45">
        <v>1</v>
      </c>
      <c r="Q30" s="39" t="s">
        <v>80</v>
      </c>
      <c r="R30" s="56"/>
      <c r="S30" s="56"/>
      <c r="IU30" s="41"/>
      <c r="IV30" s="41"/>
    </row>
    <row r="31" spans="1:256" s="39" customFormat="1" ht="12.75" customHeight="1">
      <c r="A31" s="90" t="str">
        <f>Optionen!B47&amp;":"</f>
        <v>HÜ:</v>
      </c>
      <c r="B31" s="90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6"/>
      <c r="N31" s="47"/>
      <c r="R31" s="56"/>
      <c r="S31" s="56"/>
      <c r="IU31" s="41"/>
      <c r="IV31" s="41"/>
    </row>
    <row r="32" spans="1:256" s="39" customFormat="1" ht="12.75" customHeight="1">
      <c r="A32" s="90" t="str">
        <f>Optionen!B48&amp;":"</f>
        <v>Ausfragen / Referate:</v>
      </c>
      <c r="B32" s="90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6"/>
      <c r="N32" s="47"/>
      <c r="R32" s="56"/>
      <c r="S32" s="56"/>
      <c r="IU32" s="41"/>
      <c r="IV32" s="41"/>
    </row>
    <row r="33" spans="1:256" s="39" customFormat="1" ht="12.75">
      <c r="A33" s="90" t="str">
        <f>Optionen!B49&amp;":"</f>
        <v>Mitarbeitsnoten:</v>
      </c>
      <c r="B33" s="90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3" t="s">
        <v>81</v>
      </c>
      <c r="N33" s="44">
        <f>IF(COUNT(C31:L33)&gt;0,ROUND(((SUM(C31:L33)/COUNT(C31:L33))-0.004),2),0)</f>
        <v>0</v>
      </c>
      <c r="O33" s="39" t="s">
        <v>79</v>
      </c>
      <c r="P33" s="45">
        <v>1</v>
      </c>
      <c r="Q33" s="39" t="s">
        <v>80</v>
      </c>
      <c r="IU33" s="41"/>
      <c r="IV33" s="41"/>
    </row>
    <row r="34" spans="1:256" s="39" customFormat="1" ht="12.75">
      <c r="A34" s="43" t="s">
        <v>82</v>
      </c>
      <c r="B34" s="44" t="str">
        <f>IF(IF(P30=0,IF(COUNT(C30:L33)&gt;0,ROUND(((SUM(C30:L33)/COUNT(C30:L33))-0.004),2),0),IF(N30=0,N33,IF(N33=0,N30,TRUNC((P30*N30+P33*N33)/(P30+P33),2))))=0,"-----",IF(P30=0,IF(COUNT(C30:L33)&gt;0,ROUND(((SUM(C30:L33)/COUNT(C30:L33))-0.004),2),0),IF(N30=0,N33,IF(N33=0,N30,TRUNC((P30*N30+P33*N33)/(P30+P33),2)))))</f>
        <v>-----</v>
      </c>
      <c r="C34" s="91" t="s">
        <v>83</v>
      </c>
      <c r="D34" s="91"/>
      <c r="E34" s="91"/>
      <c r="F34" s="91"/>
      <c r="G34" s="48" t="str">
        <f>IF(B34="-----","---",ROUND(B34-0.000001,0))</f>
        <v>---</v>
      </c>
      <c r="H34" s="52"/>
      <c r="I34" s="52"/>
      <c r="J34" s="52"/>
      <c r="K34" s="52"/>
      <c r="L34" s="52"/>
      <c r="M34" s="43" t="s">
        <v>84</v>
      </c>
      <c r="N34" s="44" t="s">
        <v>67</v>
      </c>
      <c r="T34" s="39">
        <f>COUNTIF(C30:L33,T$1)</f>
        <v>0</v>
      </c>
      <c r="U34" s="39">
        <f>COUNTIF(C30:L33,U$1)</f>
        <v>0</v>
      </c>
      <c r="V34" s="39">
        <f>COUNTIF(C30:L33,V$1)</f>
        <v>0</v>
      </c>
      <c r="W34" s="39">
        <f>COUNTIF(C30:L33,W$1)</f>
        <v>0</v>
      </c>
      <c r="X34" s="39">
        <f>COUNTIF(C30:L33,X$1)</f>
        <v>0</v>
      </c>
      <c r="Y34" s="39">
        <f>COUNTIF(C30:L33,Y$1)</f>
        <v>0</v>
      </c>
      <c r="IU34" s="41"/>
      <c r="IV34" s="41"/>
    </row>
    <row r="35" spans="3:256" s="39" customFormat="1" ht="12.75">
      <c r="C35" s="40"/>
      <c r="D35" s="40"/>
      <c r="E35" s="40"/>
      <c r="F35" s="40"/>
      <c r="G35" s="40"/>
      <c r="H35" s="40"/>
      <c r="I35" s="40"/>
      <c r="J35" s="40"/>
      <c r="K35" s="40"/>
      <c r="L35" s="40"/>
      <c r="N35" s="54"/>
      <c r="IU35" s="41"/>
      <c r="IV35" s="41"/>
    </row>
    <row r="36" spans="1:256" s="39" customFormat="1" ht="12.75">
      <c r="A36" s="49" t="s">
        <v>89</v>
      </c>
      <c r="B36" s="51"/>
      <c r="C36" s="51"/>
      <c r="D36" s="40"/>
      <c r="E36" s="40"/>
      <c r="F36" s="40"/>
      <c r="G36" s="40"/>
      <c r="H36" s="40"/>
      <c r="I36" s="40"/>
      <c r="J36" s="40"/>
      <c r="K36" s="40"/>
      <c r="L36" s="40"/>
      <c r="IU36" s="41"/>
      <c r="IV36" s="41"/>
    </row>
    <row r="37" spans="1:256" s="39" customFormat="1" ht="12.75" customHeight="1">
      <c r="A37" s="90" t="str">
        <f>Optionen!B46&amp;":"</f>
        <v>Arbeiten:</v>
      </c>
      <c r="B37" s="90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3" t="s">
        <v>78</v>
      </c>
      <c r="N37" s="44">
        <f>IF(COUNT(C37:L37)&gt;0,ROUND(((SUM(C37:L37)/COUNT(C37:L37))-0.004),2),0)</f>
        <v>0</v>
      </c>
      <c r="O37" s="39" t="s">
        <v>79</v>
      </c>
      <c r="P37" s="45">
        <v>1</v>
      </c>
      <c r="Q37" s="39" t="s">
        <v>80</v>
      </c>
      <c r="IU37" s="41"/>
      <c r="IV37" s="41"/>
    </row>
    <row r="38" spans="1:256" s="39" customFormat="1" ht="12.75" customHeight="1">
      <c r="A38" s="90" t="str">
        <f>Optionen!B47&amp;":"</f>
        <v>HÜ:</v>
      </c>
      <c r="B38" s="90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6"/>
      <c r="N38" s="47"/>
      <c r="IU38" s="41"/>
      <c r="IV38" s="41"/>
    </row>
    <row r="39" spans="1:256" s="39" customFormat="1" ht="12.75">
      <c r="A39" s="90" t="str">
        <f>Optionen!B48&amp;":"</f>
        <v>Ausfragen / Referate:</v>
      </c>
      <c r="B39" s="90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6"/>
      <c r="N39" s="47"/>
      <c r="IU39" s="41"/>
      <c r="IV39" s="41"/>
    </row>
    <row r="40" spans="1:256" s="39" customFormat="1" ht="12.75">
      <c r="A40" s="90" t="str">
        <f>Optionen!B49&amp;":"</f>
        <v>Mitarbeitsnoten:</v>
      </c>
      <c r="B40" s="90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3" t="s">
        <v>81</v>
      </c>
      <c r="N40" s="44">
        <f>IF(COUNT(C38:L40)&gt;0,ROUND(((SUM(C38:L40)/COUNT(C38:L40))-0.004),2),0)</f>
        <v>0</v>
      </c>
      <c r="O40" s="39" t="s">
        <v>79</v>
      </c>
      <c r="P40" s="45">
        <v>1</v>
      </c>
      <c r="Q40" s="39" t="s">
        <v>80</v>
      </c>
      <c r="IU40" s="41"/>
      <c r="IV40" s="41"/>
    </row>
    <row r="41" spans="1:256" s="39" customFormat="1" ht="12.75">
      <c r="A41" s="43" t="s">
        <v>82</v>
      </c>
      <c r="B41" s="44" t="str">
        <f>IF(IF(P37=0,IF(COUNT(C37:L40)&gt;0,ROUND(((SUM(C37:L40)/COUNT(C37:L40))-0.004),2),0),IF(N37=0,N40,IF(N40=0,N37,TRUNC((P37*N37+P40*N40)/(P37+P40),2))))=0,"-----",IF(P37=0,IF(COUNT(C37:L40)&gt;0,ROUND(((SUM(C37:L40)/COUNT(C37:L40))-0.004),2),0),IF(N37=0,N40,IF(N40=0,N37,TRUNC((P37*N37+P40*N40)/(P37+P40),2)))))</f>
        <v>-----</v>
      </c>
      <c r="C41" s="91" t="s">
        <v>83</v>
      </c>
      <c r="D41" s="91"/>
      <c r="E41" s="91"/>
      <c r="F41" s="91"/>
      <c r="G41" s="48" t="str">
        <f>IF(B41="-----","---",ROUND(B41-0.000001,0))</f>
        <v>---</v>
      </c>
      <c r="H41" s="52"/>
      <c r="I41" s="52"/>
      <c r="J41" s="52"/>
      <c r="K41" s="52"/>
      <c r="L41" s="52"/>
      <c r="M41" s="43" t="s">
        <v>84</v>
      </c>
      <c r="N41" s="44" t="s">
        <v>67</v>
      </c>
      <c r="T41" s="39">
        <f>COUNTIF(C37:L40,T$1)</f>
        <v>0</v>
      </c>
      <c r="U41" s="39">
        <f>COUNTIF(C37:L40,U$1)</f>
        <v>0</v>
      </c>
      <c r="V41" s="39">
        <f>COUNTIF(C37:L40,V$1)</f>
        <v>0</v>
      </c>
      <c r="W41" s="39">
        <f>COUNTIF(C37:L40,W$1)</f>
        <v>0</v>
      </c>
      <c r="X41" s="39">
        <f>COUNTIF(C37:L40,X$1)</f>
        <v>0</v>
      </c>
      <c r="Y41" s="39">
        <f>COUNTIF(C37:L40,Y$1)</f>
        <v>0</v>
      </c>
      <c r="IU41" s="41"/>
      <c r="IV41" s="41"/>
    </row>
    <row r="42" spans="3:256" s="39" customFormat="1" ht="12.75">
      <c r="C42" s="40"/>
      <c r="D42" s="40"/>
      <c r="E42" s="40"/>
      <c r="F42" s="40"/>
      <c r="G42" s="40"/>
      <c r="H42" s="40"/>
      <c r="I42" s="40"/>
      <c r="J42" s="40"/>
      <c r="K42" s="40"/>
      <c r="L42" s="40"/>
      <c r="N42" s="54"/>
      <c r="IU42" s="41"/>
      <c r="IV42" s="41"/>
    </row>
    <row r="43" spans="1:256" s="39" customFormat="1" ht="12.75">
      <c r="A43" s="49" t="s">
        <v>90</v>
      </c>
      <c r="B43" s="50"/>
      <c r="C43" s="51"/>
      <c r="D43" s="40"/>
      <c r="E43" s="40"/>
      <c r="F43" s="40"/>
      <c r="G43" s="40"/>
      <c r="H43" s="40"/>
      <c r="I43" s="40"/>
      <c r="J43" s="40"/>
      <c r="K43" s="40"/>
      <c r="L43" s="40"/>
      <c r="IU43" s="41"/>
      <c r="IV43" s="41"/>
    </row>
    <row r="44" spans="1:256" s="39" customFormat="1" ht="12.75">
      <c r="A44" s="90" t="str">
        <f>Optionen!B46&amp;":"</f>
        <v>Arbeiten:</v>
      </c>
      <c r="B44" s="90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3" t="s">
        <v>78</v>
      </c>
      <c r="N44" s="44">
        <f>IF(COUNT(C44:L44)&gt;0,ROUND(((SUM(C44:L44)/COUNT(C44:L44))-0.004),2),0)</f>
        <v>0</v>
      </c>
      <c r="O44" s="39" t="s">
        <v>79</v>
      </c>
      <c r="P44" s="45">
        <v>1</v>
      </c>
      <c r="Q44" s="39" t="s">
        <v>80</v>
      </c>
      <c r="IU44" s="41"/>
      <c r="IV44" s="41"/>
    </row>
    <row r="45" spans="1:256" s="39" customFormat="1" ht="12.75">
      <c r="A45" s="90" t="str">
        <f>Optionen!B47&amp;":"</f>
        <v>HÜ:</v>
      </c>
      <c r="B45" s="90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6"/>
      <c r="N45" s="47"/>
      <c r="IU45" s="41"/>
      <c r="IV45" s="41"/>
    </row>
    <row r="46" spans="1:256" s="39" customFormat="1" ht="12.75">
      <c r="A46" s="90" t="str">
        <f>Optionen!B48&amp;":"</f>
        <v>Ausfragen / Referate:</v>
      </c>
      <c r="B46" s="90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6"/>
      <c r="N46" s="47"/>
      <c r="IU46" s="41"/>
      <c r="IV46" s="41"/>
    </row>
    <row r="47" spans="1:256" s="39" customFormat="1" ht="12.75">
      <c r="A47" s="90" t="str">
        <f>Optionen!B49&amp;":"</f>
        <v>Mitarbeitsnoten:</v>
      </c>
      <c r="B47" s="90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3" t="s">
        <v>81</v>
      </c>
      <c r="N47" s="44">
        <f>IF(COUNT(C45:L47)&gt;0,ROUND(((SUM(C45:L47)/COUNT(C45:L47))-0.004),2),0)</f>
        <v>0</v>
      </c>
      <c r="O47" s="39" t="s">
        <v>79</v>
      </c>
      <c r="P47" s="45">
        <v>1</v>
      </c>
      <c r="Q47" s="39" t="s">
        <v>80</v>
      </c>
      <c r="IU47" s="41"/>
      <c r="IV47" s="41"/>
    </row>
    <row r="48" spans="1:256" s="39" customFormat="1" ht="12.75">
      <c r="A48" s="43" t="s">
        <v>82</v>
      </c>
      <c r="B48" s="44" t="str">
        <f>IF(IF(P44=0,IF(COUNT(C44:L47)&gt;0,ROUND(((SUM(C44:L47)/COUNT(C44:L47))-0.004),2),0),IF(N44=0,N47,IF(N47=0,N44,TRUNC((P44*N44+P47*N47)/(P44+P47),2))))=0,"-----",IF(P44=0,IF(COUNT(C44:L47)&gt;0,ROUND(((SUM(C44:L47)/COUNT(C44:L47))-0.004),2),0),IF(N44=0,N47,IF(N47=0,N44,TRUNC((P44*N44+P47*N47)/(P44+P47),2)))))</f>
        <v>-----</v>
      </c>
      <c r="C48" s="91" t="s">
        <v>83</v>
      </c>
      <c r="D48" s="91"/>
      <c r="E48" s="91"/>
      <c r="F48" s="91"/>
      <c r="G48" s="48" t="str">
        <f>IF(B48="-----","---",ROUND(B48-0.000001,0))</f>
        <v>---</v>
      </c>
      <c r="H48" s="52"/>
      <c r="I48" s="52"/>
      <c r="J48" s="52"/>
      <c r="K48" s="52"/>
      <c r="L48" s="52"/>
      <c r="M48" s="43" t="s">
        <v>84</v>
      </c>
      <c r="N48" s="44" t="s">
        <v>67</v>
      </c>
      <c r="T48" s="39">
        <f>COUNTIF(C44:L47,T$1)</f>
        <v>0</v>
      </c>
      <c r="U48" s="39">
        <f>COUNTIF(C44:L47,U$1)</f>
        <v>0</v>
      </c>
      <c r="V48" s="39">
        <f>COUNTIF(C44:L47,V$1)</f>
        <v>0</v>
      </c>
      <c r="W48" s="39">
        <f>COUNTIF(C44:L47,W$1)</f>
        <v>0</v>
      </c>
      <c r="X48" s="39">
        <f>COUNTIF(C44:L47,X$1)</f>
        <v>0</v>
      </c>
      <c r="Y48" s="39">
        <f>COUNTIF(C44:L47,Y$1)</f>
        <v>0</v>
      </c>
      <c r="IU48" s="41"/>
      <c r="IV48" s="41"/>
    </row>
    <row r="49" spans="3:256" s="39" customFormat="1" ht="12.75">
      <c r="C49" s="40"/>
      <c r="D49" s="40"/>
      <c r="E49" s="40"/>
      <c r="F49" s="40"/>
      <c r="G49" s="40"/>
      <c r="H49" s="40"/>
      <c r="I49" s="40"/>
      <c r="J49" s="40"/>
      <c r="K49" s="40"/>
      <c r="L49" s="40"/>
      <c r="N49" s="54"/>
      <c r="IU49" s="41"/>
      <c r="IV49" s="41"/>
    </row>
    <row r="50" spans="1:256" s="39" customFormat="1" ht="12.75">
      <c r="A50" s="49" t="s">
        <v>91</v>
      </c>
      <c r="B50" s="50"/>
      <c r="C50" s="51"/>
      <c r="D50" s="40"/>
      <c r="E50" s="40"/>
      <c r="F50" s="40"/>
      <c r="G50" s="40"/>
      <c r="H50" s="40"/>
      <c r="I50" s="40"/>
      <c r="J50" s="40"/>
      <c r="K50" s="40"/>
      <c r="L50" s="40"/>
      <c r="IU50" s="41"/>
      <c r="IV50" s="41"/>
    </row>
    <row r="51" spans="1:256" s="39" customFormat="1" ht="12.75">
      <c r="A51" s="90" t="str">
        <f>Optionen!B46&amp;":"</f>
        <v>Arbeiten:</v>
      </c>
      <c r="B51" s="90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3" t="s">
        <v>78</v>
      </c>
      <c r="N51" s="44">
        <f>IF(COUNT(C51:L51)&gt;0,ROUND(((SUM(C51:L51)/COUNT(C51:L51))-0.004),2),0)</f>
        <v>0</v>
      </c>
      <c r="O51" s="39" t="s">
        <v>79</v>
      </c>
      <c r="P51" s="45">
        <v>1</v>
      </c>
      <c r="Q51" s="39" t="s">
        <v>80</v>
      </c>
      <c r="IU51" s="41"/>
      <c r="IV51" s="41"/>
    </row>
    <row r="52" spans="1:256" s="39" customFormat="1" ht="12.75">
      <c r="A52" s="90" t="str">
        <f>Optionen!B47&amp;":"</f>
        <v>HÜ:</v>
      </c>
      <c r="B52" s="90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6"/>
      <c r="N52" s="47"/>
      <c r="IU52" s="41"/>
      <c r="IV52" s="41"/>
    </row>
    <row r="53" spans="1:256" s="39" customFormat="1" ht="12.75">
      <c r="A53" s="90" t="str">
        <f>Optionen!B48&amp;":"</f>
        <v>Ausfragen / Referate:</v>
      </c>
      <c r="B53" s="90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6"/>
      <c r="N53" s="47"/>
      <c r="IU53" s="41"/>
      <c r="IV53" s="41"/>
    </row>
    <row r="54" spans="1:256" s="39" customFormat="1" ht="12.75">
      <c r="A54" s="90" t="str">
        <f>Optionen!B49&amp;":"</f>
        <v>Mitarbeitsnoten:</v>
      </c>
      <c r="B54" s="90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3" t="s">
        <v>81</v>
      </c>
      <c r="N54" s="44">
        <f>IF(COUNT(C52:L54)&gt;0,ROUND(((SUM(C52:L54)/COUNT(C52:L54))-0.004),2),0)</f>
        <v>0</v>
      </c>
      <c r="O54" s="39" t="s">
        <v>79</v>
      </c>
      <c r="P54" s="45">
        <v>2</v>
      </c>
      <c r="Q54" s="39" t="s">
        <v>80</v>
      </c>
      <c r="IU54" s="41"/>
      <c r="IV54" s="41"/>
    </row>
    <row r="55" spans="1:256" s="39" customFormat="1" ht="12.75">
      <c r="A55" s="43" t="s">
        <v>82</v>
      </c>
      <c r="B55" s="44" t="str">
        <f>IF(IF(P51=0,IF(COUNT(C51:L54)&gt;0,ROUND(((SUM(C51:L54)/COUNT(C51:L54))-0.004),2),0),IF(N51=0,N54,IF(N54=0,N51,TRUNC((P51*N51+P54*N54)/(P51+P54),2))))=0,"-----",IF(P51=0,IF(COUNT(C51:L54)&gt;0,ROUND(((SUM(C51:L54)/COUNT(C51:L54))-0.004),2),0),IF(N51=0,N54,IF(N54=0,N51,TRUNC((P51*N51+P54*N54)/(P51+P54),2)))))</f>
        <v>-----</v>
      </c>
      <c r="C55" s="91" t="s">
        <v>83</v>
      </c>
      <c r="D55" s="91"/>
      <c r="E55" s="91"/>
      <c r="F55" s="91"/>
      <c r="G55" s="48" t="str">
        <f>IF(B55="-----","---",ROUND(B55-0.000001,0))</f>
        <v>---</v>
      </c>
      <c r="H55" s="52"/>
      <c r="I55" s="52"/>
      <c r="J55" s="52"/>
      <c r="K55" s="52"/>
      <c r="L55" s="52"/>
      <c r="M55" s="43" t="s">
        <v>84</v>
      </c>
      <c r="N55" s="44" t="s">
        <v>67</v>
      </c>
      <c r="T55" s="39">
        <f>COUNTIF(C51:L54,T$1)</f>
        <v>0</v>
      </c>
      <c r="U55" s="39">
        <f>COUNTIF(C51:L54,U$1)</f>
        <v>0</v>
      </c>
      <c r="V55" s="39">
        <f>COUNTIF(C51:L54,V$1)</f>
        <v>0</v>
      </c>
      <c r="W55" s="39">
        <f>COUNTIF(C51:L54,W$1)</f>
        <v>0</v>
      </c>
      <c r="X55" s="39">
        <f>COUNTIF(C51:L54,X$1)</f>
        <v>0</v>
      </c>
      <c r="Y55" s="39">
        <f>COUNTIF(C51:L54,Y$1)</f>
        <v>0</v>
      </c>
      <c r="IU55" s="41"/>
      <c r="IV55" s="41"/>
    </row>
    <row r="56" spans="3:256" s="39" customFormat="1" ht="15" customHeight="1">
      <c r="C56" s="40"/>
      <c r="D56" s="40"/>
      <c r="E56" s="40"/>
      <c r="F56" s="40"/>
      <c r="G56" s="40"/>
      <c r="H56" s="40"/>
      <c r="I56" s="40"/>
      <c r="J56" s="40"/>
      <c r="K56" s="40"/>
      <c r="L56" s="40"/>
      <c r="N56" s="54"/>
      <c r="IU56" s="41"/>
      <c r="IV56" s="41"/>
    </row>
    <row r="57" spans="1:256" s="39" customFormat="1" ht="12.75">
      <c r="A57" s="49" t="s">
        <v>92</v>
      </c>
      <c r="B57" s="50"/>
      <c r="C57" s="51"/>
      <c r="D57" s="40"/>
      <c r="E57" s="40"/>
      <c r="F57" s="40"/>
      <c r="G57" s="40"/>
      <c r="H57" s="40"/>
      <c r="I57" s="40"/>
      <c r="J57" s="40"/>
      <c r="K57" s="40"/>
      <c r="L57" s="40"/>
      <c r="N57" s="57"/>
      <c r="IU57" s="41"/>
      <c r="IV57" s="41"/>
    </row>
    <row r="58" spans="1:256" s="39" customFormat="1" ht="12.75">
      <c r="A58" s="90" t="str">
        <f>Optionen!B46&amp;":"</f>
        <v>Arbeiten:</v>
      </c>
      <c r="B58" s="90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3" t="s">
        <v>78</v>
      </c>
      <c r="N58" s="44">
        <f>IF(COUNT(C58:L58)&gt;0,ROUND(((SUM(C58:L58)/COUNT(C58:L58))-0.004),2),0)</f>
        <v>0</v>
      </c>
      <c r="O58" s="39" t="s">
        <v>79</v>
      </c>
      <c r="P58" s="45">
        <v>1</v>
      </c>
      <c r="Q58" s="39" t="s">
        <v>80</v>
      </c>
      <c r="IU58" s="41"/>
      <c r="IV58" s="41"/>
    </row>
    <row r="59" spans="1:256" s="39" customFormat="1" ht="12.75">
      <c r="A59" s="90" t="str">
        <f>Optionen!B47&amp;":"</f>
        <v>HÜ:</v>
      </c>
      <c r="B59" s="90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6"/>
      <c r="N59" s="47"/>
      <c r="IU59" s="41"/>
      <c r="IV59" s="41"/>
    </row>
    <row r="60" spans="1:256" s="39" customFormat="1" ht="12.75">
      <c r="A60" s="90" t="str">
        <f>Optionen!B48&amp;":"</f>
        <v>Ausfragen / Referate:</v>
      </c>
      <c r="B60" s="90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6"/>
      <c r="N60" s="47"/>
      <c r="IU60" s="41"/>
      <c r="IV60" s="41"/>
    </row>
    <row r="61" spans="1:256" s="39" customFormat="1" ht="12.75" customHeight="1">
      <c r="A61" s="90" t="str">
        <f>Optionen!B49&amp;":"</f>
        <v>Mitarbeitsnoten:</v>
      </c>
      <c r="B61" s="90"/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3" t="s">
        <v>81</v>
      </c>
      <c r="N61" s="44">
        <f>IF(COUNT(C59:L61)&gt;0,ROUND(((SUM(C59:L61)/COUNT(C59:L61))-0.004),2),0)</f>
        <v>0</v>
      </c>
      <c r="O61" s="39" t="s">
        <v>79</v>
      </c>
      <c r="P61" s="45">
        <v>2</v>
      </c>
      <c r="Q61" s="39" t="s">
        <v>80</v>
      </c>
      <c r="IU61" s="41"/>
      <c r="IV61" s="41"/>
    </row>
    <row r="62" spans="1:256" s="39" customFormat="1" ht="12.75">
      <c r="A62" s="43" t="s">
        <v>82</v>
      </c>
      <c r="B62" s="44" t="str">
        <f>IF(IF(P58=0,IF(COUNT(C58:L61)&gt;0,ROUND(((SUM(C58:L61)/COUNT(C58:L61))-0.004),2),0),IF(N58=0,N61,IF(N61=0,N58,TRUNC((P58*N58+P61*N61)/(P58+P61),2))))=0,"-----",IF(P58=0,IF(COUNT(C58:L61)&gt;0,ROUND(((SUM(C58:L61)/COUNT(C58:L61))-0.004),2),0),IF(N58=0,N61,IF(N61=0,N58,TRUNC((P58*N58+P61*N61)/(P58+P61),2)))))</f>
        <v>-----</v>
      </c>
      <c r="C62" s="91" t="s">
        <v>83</v>
      </c>
      <c r="D62" s="91"/>
      <c r="E62" s="91"/>
      <c r="F62" s="91"/>
      <c r="G62" s="48" t="str">
        <f>IF(B62="-----","---",ROUND(B62-0.000001,0))</f>
        <v>---</v>
      </c>
      <c r="H62" s="52"/>
      <c r="I62" s="52"/>
      <c r="J62" s="52"/>
      <c r="K62" s="52"/>
      <c r="L62" s="52"/>
      <c r="M62" s="43" t="s">
        <v>84</v>
      </c>
      <c r="N62" s="44" t="s">
        <v>67</v>
      </c>
      <c r="T62" s="39">
        <f>COUNTIF(C58:L61,T$1)</f>
        <v>0</v>
      </c>
      <c r="U62" s="39">
        <f>COUNTIF(C58:L61,U$1)</f>
        <v>0</v>
      </c>
      <c r="V62" s="39">
        <f>COUNTIF(C58:L61,V$1)</f>
        <v>0</v>
      </c>
      <c r="W62" s="39">
        <f>COUNTIF(C58:L61,W$1)</f>
        <v>0</v>
      </c>
      <c r="X62" s="39">
        <f>COUNTIF(C58:L61,X$1)</f>
        <v>0</v>
      </c>
      <c r="Y62" s="39">
        <f>COUNTIF(C58:L61,Y$1)</f>
        <v>0</v>
      </c>
      <c r="IU62" s="41"/>
      <c r="IV62" s="41"/>
    </row>
    <row r="63" spans="14:256" s="39" customFormat="1" ht="12.75">
      <c r="N63" s="54"/>
      <c r="IU63" s="41"/>
      <c r="IV63" s="41"/>
    </row>
    <row r="64" spans="1:256" s="39" customFormat="1" ht="12.75">
      <c r="A64" s="49" t="s">
        <v>93</v>
      </c>
      <c r="B64" s="50"/>
      <c r="C64" s="51"/>
      <c r="D64" s="40"/>
      <c r="E64" s="40"/>
      <c r="F64" s="40"/>
      <c r="G64" s="40"/>
      <c r="H64" s="40"/>
      <c r="I64" s="40"/>
      <c r="J64" s="40"/>
      <c r="K64" s="40"/>
      <c r="L64" s="40"/>
      <c r="N64" s="54"/>
      <c r="IU64" s="41"/>
      <c r="IV64" s="41"/>
    </row>
    <row r="65" spans="1:256" s="39" customFormat="1" ht="12.75">
      <c r="A65" s="90" t="str">
        <f>Optionen!B46&amp;":"</f>
        <v>Arbeiten:</v>
      </c>
      <c r="B65" s="90"/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3" t="s">
        <v>78</v>
      </c>
      <c r="N65" s="44">
        <f>IF(COUNT(C65:L65)&gt;0,ROUND(((SUM(C65:L65)/COUNT(C65:L65))-0.004),2),0)</f>
        <v>0</v>
      </c>
      <c r="O65" s="39" t="s">
        <v>79</v>
      </c>
      <c r="P65" s="45">
        <v>1</v>
      </c>
      <c r="Q65" s="39" t="s">
        <v>80</v>
      </c>
      <c r="IU65" s="41"/>
      <c r="IV65" s="41"/>
    </row>
    <row r="66" spans="1:256" s="39" customFormat="1" ht="12.75">
      <c r="A66" s="90" t="str">
        <f>Optionen!B47&amp;":"</f>
        <v>HÜ:</v>
      </c>
      <c r="B66" s="90"/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6"/>
      <c r="N66" s="47"/>
      <c r="IU66" s="41"/>
      <c r="IV66" s="41"/>
    </row>
    <row r="67" spans="1:256" s="39" customFormat="1" ht="12.75" customHeight="1">
      <c r="A67" s="90" t="str">
        <f>Optionen!B48&amp;":"</f>
        <v>Ausfragen / Referate:</v>
      </c>
      <c r="B67" s="90"/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6"/>
      <c r="N67" s="47"/>
      <c r="IU67" s="41"/>
      <c r="IV67" s="41"/>
    </row>
    <row r="68" spans="1:256" s="39" customFormat="1" ht="12.75">
      <c r="A68" s="90" t="str">
        <f>Optionen!B49&amp;":"</f>
        <v>Mitarbeitsnoten:</v>
      </c>
      <c r="B68" s="90"/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3" t="s">
        <v>81</v>
      </c>
      <c r="N68" s="44">
        <f>IF(COUNT(C66:L68)&gt;0,ROUND(((SUM(C66:L68)/COUNT(C66:L68))-0.004),2),0)</f>
        <v>0</v>
      </c>
      <c r="O68" s="39" t="s">
        <v>79</v>
      </c>
      <c r="P68" s="45">
        <v>2</v>
      </c>
      <c r="Q68" s="39" t="s">
        <v>80</v>
      </c>
      <c r="IU68" s="41"/>
      <c r="IV68" s="41"/>
    </row>
    <row r="69" spans="1:256" s="39" customFormat="1" ht="12.75">
      <c r="A69" s="43" t="s">
        <v>82</v>
      </c>
      <c r="B69" s="44" t="str">
        <f>IF(IF(P65=0,IF(COUNT(C65:L68)&gt;0,ROUND(((SUM(C65:L68)/COUNT(C65:L68))-0.004),2),0),IF(N65=0,N68,IF(N68=0,N65,TRUNC((P65*N65+P68*N68)/(P65+P68),2))))=0,"-----",IF(P65=0,IF(COUNT(C65:L68)&gt;0,ROUND(((SUM(C65:L68)/COUNT(C65:L68))-0.004),2),0),IF(N65=0,N68,IF(N68=0,N65,TRUNC((P65*N65+P68*N68)/(P65+P68),2)))))</f>
        <v>-----</v>
      </c>
      <c r="C69" s="91" t="s">
        <v>83</v>
      </c>
      <c r="D69" s="91"/>
      <c r="E69" s="91"/>
      <c r="F69" s="91"/>
      <c r="G69" s="48" t="str">
        <f>IF(B69="-----","---",ROUND(B69-0.000001,0))</f>
        <v>---</v>
      </c>
      <c r="H69" s="52"/>
      <c r="I69" s="52"/>
      <c r="J69" s="52"/>
      <c r="K69" s="52"/>
      <c r="L69" s="52"/>
      <c r="M69" s="43" t="s">
        <v>84</v>
      </c>
      <c r="N69" s="44" t="s">
        <v>67</v>
      </c>
      <c r="T69" s="39">
        <f>COUNTIF(C65:L68,T$1)</f>
        <v>0</v>
      </c>
      <c r="U69" s="39">
        <f>COUNTIF(C65:L68,U$1)</f>
        <v>0</v>
      </c>
      <c r="V69" s="39">
        <f>COUNTIF(C65:L68,V$1)</f>
        <v>0</v>
      </c>
      <c r="W69" s="39">
        <f>COUNTIF(C65:L68,W$1)</f>
        <v>0</v>
      </c>
      <c r="X69" s="39">
        <f>COUNTIF(C65:L68,X$1)</f>
        <v>0</v>
      </c>
      <c r="Y69" s="39">
        <f>COUNTIF(C65:L68,Y$1)</f>
        <v>0</v>
      </c>
      <c r="IU69" s="41"/>
      <c r="IV69" s="41"/>
    </row>
    <row r="70" spans="14:256" s="39" customFormat="1" ht="12.75">
      <c r="N70" s="54"/>
      <c r="IU70" s="41"/>
      <c r="IV70" s="41"/>
    </row>
    <row r="71" spans="1:256" s="39" customFormat="1" ht="12.75">
      <c r="A71" s="49" t="s">
        <v>94</v>
      </c>
      <c r="B71" s="50"/>
      <c r="C71" s="51"/>
      <c r="D71" s="40"/>
      <c r="E71" s="40"/>
      <c r="F71" s="40"/>
      <c r="G71" s="40"/>
      <c r="H71" s="40"/>
      <c r="I71" s="40"/>
      <c r="J71" s="40"/>
      <c r="K71" s="40"/>
      <c r="L71" s="40"/>
      <c r="N71" s="54"/>
      <c r="IU71" s="41"/>
      <c r="IV71" s="41"/>
    </row>
    <row r="72" spans="1:256" s="39" customFormat="1" ht="12.75">
      <c r="A72" s="90" t="str">
        <f>Optionen!B46&amp;":"</f>
        <v>Arbeiten:</v>
      </c>
      <c r="B72" s="90"/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3" t="s">
        <v>78</v>
      </c>
      <c r="N72" s="44">
        <f>IF(COUNT(C72:L72)&gt;0,ROUND(((SUM(C72:L72)/COUNT(C72:L72))-0.004),2),0)</f>
        <v>0</v>
      </c>
      <c r="O72" s="39" t="s">
        <v>79</v>
      </c>
      <c r="P72" s="45">
        <v>1</v>
      </c>
      <c r="Q72" s="39" t="s">
        <v>80</v>
      </c>
      <c r="IU72" s="41"/>
      <c r="IV72" s="41"/>
    </row>
    <row r="73" spans="1:256" s="39" customFormat="1" ht="12.75" customHeight="1">
      <c r="A73" s="90" t="str">
        <f>Optionen!B47&amp;":"</f>
        <v>HÜ:</v>
      </c>
      <c r="B73" s="90"/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46"/>
      <c r="N73" s="47"/>
      <c r="IU73" s="41"/>
      <c r="IV73" s="41"/>
    </row>
    <row r="74" spans="1:256" s="39" customFormat="1" ht="12.75">
      <c r="A74" s="90" t="str">
        <f>Optionen!B48&amp;":"</f>
        <v>Ausfragen / Referate:</v>
      </c>
      <c r="B74" s="90"/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6"/>
      <c r="N74" s="47"/>
      <c r="IU74" s="41"/>
      <c r="IV74" s="41"/>
    </row>
    <row r="75" spans="1:256" s="39" customFormat="1" ht="12.75">
      <c r="A75" s="90" t="str">
        <f>Optionen!B49&amp;":"</f>
        <v>Mitarbeitsnoten:</v>
      </c>
      <c r="B75" s="90"/>
      <c r="C75" s="42"/>
      <c r="D75" s="42"/>
      <c r="E75" s="42"/>
      <c r="F75" s="42"/>
      <c r="G75" s="42"/>
      <c r="H75" s="42"/>
      <c r="I75" s="42"/>
      <c r="J75" s="42"/>
      <c r="K75" s="42"/>
      <c r="L75" s="42"/>
      <c r="M75" s="43" t="s">
        <v>81</v>
      </c>
      <c r="N75" s="44">
        <f>IF(COUNT(C73:L75)&gt;0,ROUND(((SUM(C73:L75)/COUNT(C73:L75))-0.004),2),0)</f>
        <v>0</v>
      </c>
      <c r="O75" s="39" t="s">
        <v>79</v>
      </c>
      <c r="P75" s="45">
        <v>2</v>
      </c>
      <c r="Q75" s="39" t="s">
        <v>80</v>
      </c>
      <c r="IU75" s="41"/>
      <c r="IV75" s="41"/>
    </row>
    <row r="76" spans="1:256" s="39" customFormat="1" ht="12.75">
      <c r="A76" s="43" t="s">
        <v>82</v>
      </c>
      <c r="B76" s="44" t="str">
        <f>IF(IF(P72=0,IF(COUNT(C72:L75)&gt;0,ROUND(((SUM(C72:L75)/COUNT(C72:L75))-0.004),2),0),IF(N72=0,N75,IF(N75=0,N72,TRUNC((P72*N72+P75*N75)/(P72+P75),2))))=0,"-----",IF(P72=0,IF(COUNT(C72:L75)&gt;0,ROUND(((SUM(C72:L75)/COUNT(C72:L75))-0.004),2),0),IF(N72=0,N75,IF(N75=0,N72,TRUNC((P72*N72+P75*N75)/(P72+P75),2)))))</f>
        <v>-----</v>
      </c>
      <c r="C76" s="91" t="s">
        <v>83</v>
      </c>
      <c r="D76" s="91"/>
      <c r="E76" s="91"/>
      <c r="F76" s="91"/>
      <c r="G76" s="48" t="str">
        <f>IF(B76="-----","---",ROUND(B76-0.000001,0))</f>
        <v>---</v>
      </c>
      <c r="H76" s="52"/>
      <c r="I76" s="52"/>
      <c r="J76" s="52"/>
      <c r="K76" s="52"/>
      <c r="L76" s="52"/>
      <c r="M76" s="43" t="s">
        <v>84</v>
      </c>
      <c r="N76" s="44" t="s">
        <v>67</v>
      </c>
      <c r="T76" s="39">
        <f>COUNTIF(C72:L75,T$1)</f>
        <v>0</v>
      </c>
      <c r="U76" s="39">
        <f>COUNTIF(C72:L75,U$1)</f>
        <v>0</v>
      </c>
      <c r="V76" s="39">
        <f>COUNTIF(C72:L75,V$1)</f>
        <v>0</v>
      </c>
      <c r="W76" s="39">
        <f>COUNTIF(C72:L75,W$1)</f>
        <v>0</v>
      </c>
      <c r="X76" s="39">
        <f>COUNTIF(C72:L75,X$1)</f>
        <v>0</v>
      </c>
      <c r="Y76" s="39">
        <f>COUNTIF(C72:L75,Y$1)</f>
        <v>0</v>
      </c>
      <c r="IU76" s="41"/>
      <c r="IV76" s="41"/>
    </row>
    <row r="77" spans="14:256" s="39" customFormat="1" ht="12.75">
      <c r="N77" s="54"/>
      <c r="IU77" s="41"/>
      <c r="IV77" s="41"/>
    </row>
    <row r="78" spans="1:256" s="39" customFormat="1" ht="15" customHeight="1">
      <c r="A78" s="49" t="s">
        <v>95</v>
      </c>
      <c r="B78" s="50"/>
      <c r="C78" s="51"/>
      <c r="D78" s="40"/>
      <c r="E78" s="40"/>
      <c r="F78" s="40"/>
      <c r="G78" s="40"/>
      <c r="H78" s="40"/>
      <c r="I78" s="40"/>
      <c r="J78" s="40"/>
      <c r="K78" s="40"/>
      <c r="L78" s="40"/>
      <c r="N78" s="54"/>
      <c r="IU78" s="41"/>
      <c r="IV78" s="41"/>
    </row>
    <row r="79" spans="1:256" s="39" customFormat="1" ht="15" customHeight="1">
      <c r="A79" s="90" t="str">
        <f>Optionen!B46&amp;":"</f>
        <v>Arbeiten:</v>
      </c>
      <c r="B79" s="90"/>
      <c r="C79" s="42"/>
      <c r="D79" s="42"/>
      <c r="E79" s="42"/>
      <c r="F79" s="42"/>
      <c r="G79" s="42"/>
      <c r="H79" s="42"/>
      <c r="I79" s="42"/>
      <c r="J79" s="42"/>
      <c r="K79" s="42"/>
      <c r="L79" s="42"/>
      <c r="M79" s="43" t="s">
        <v>78</v>
      </c>
      <c r="N79" s="44">
        <f>IF(COUNT(C79:L79)&gt;0,ROUND(((SUM(C79:L79)/COUNT(C79:L79))-0.004),2),0)</f>
        <v>0</v>
      </c>
      <c r="O79" s="39" t="s">
        <v>79</v>
      </c>
      <c r="P79" s="45">
        <v>1</v>
      </c>
      <c r="Q79" s="39" t="s">
        <v>80</v>
      </c>
      <c r="IU79" s="41"/>
      <c r="IV79" s="41"/>
    </row>
    <row r="80" spans="1:256" s="39" customFormat="1" ht="12.75">
      <c r="A80" s="90" t="str">
        <f>Optionen!B47&amp;":"</f>
        <v>HÜ:</v>
      </c>
      <c r="B80" s="90"/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6"/>
      <c r="N80" s="47"/>
      <c r="IU80" s="41"/>
      <c r="IV80" s="41"/>
    </row>
    <row r="81" spans="1:256" s="39" customFormat="1" ht="12.75">
      <c r="A81" s="90" t="str">
        <f>Optionen!B48&amp;":"</f>
        <v>Ausfragen / Referate:</v>
      </c>
      <c r="B81" s="90"/>
      <c r="C81" s="42"/>
      <c r="D81" s="42"/>
      <c r="E81" s="42"/>
      <c r="F81" s="42"/>
      <c r="G81" s="42"/>
      <c r="H81" s="42"/>
      <c r="I81" s="42"/>
      <c r="J81" s="42"/>
      <c r="K81" s="42"/>
      <c r="L81" s="42"/>
      <c r="M81" s="46"/>
      <c r="N81" s="47"/>
      <c r="IU81" s="41"/>
      <c r="IV81" s="41"/>
    </row>
    <row r="82" spans="1:256" s="39" customFormat="1" ht="12.75">
      <c r="A82" s="90" t="str">
        <f>Optionen!B49&amp;":"</f>
        <v>Mitarbeitsnoten:</v>
      </c>
      <c r="B82" s="90"/>
      <c r="C82" s="42"/>
      <c r="D82" s="42"/>
      <c r="E82" s="42"/>
      <c r="F82" s="42"/>
      <c r="G82" s="42"/>
      <c r="H82" s="42"/>
      <c r="I82" s="42"/>
      <c r="J82" s="42"/>
      <c r="K82" s="42"/>
      <c r="L82" s="42"/>
      <c r="M82" s="43" t="s">
        <v>81</v>
      </c>
      <c r="N82" s="44">
        <f>IF(COUNT(C80:L82)&gt;0,ROUND(((SUM(C80:L82)/COUNT(C80:L82))-0.004),2),0)</f>
        <v>0</v>
      </c>
      <c r="O82" s="39" t="s">
        <v>79</v>
      </c>
      <c r="P82" s="45">
        <v>2</v>
      </c>
      <c r="Q82" s="39" t="s">
        <v>80</v>
      </c>
      <c r="IU82" s="41"/>
      <c r="IV82" s="41"/>
    </row>
    <row r="83" spans="1:256" s="39" customFormat="1" ht="12.75">
      <c r="A83" s="43" t="s">
        <v>82</v>
      </c>
      <c r="B83" s="44" t="str">
        <f>IF(IF(P79=0,IF(COUNT(C79:L82)&gt;0,ROUND(((SUM(C79:L82)/COUNT(C79:L82))-0.004),2),0),IF(N79=0,N82,IF(N82=0,N79,TRUNC((P79*N79+P82*N82)/(P79+P82),2))))=0,"-----",IF(P79=0,IF(COUNT(C79:L82)&gt;0,ROUND(((SUM(C79:L82)/COUNT(C79:L82))-0.004),2),0),IF(N79=0,N82,IF(N82=0,N79,TRUNC((P79*N79+P82*N82)/(P79+P82),2)))))</f>
        <v>-----</v>
      </c>
      <c r="C83" s="91" t="s">
        <v>83</v>
      </c>
      <c r="D83" s="91"/>
      <c r="E83" s="91"/>
      <c r="F83" s="91"/>
      <c r="G83" s="48" t="str">
        <f>IF(B83="-----","---",ROUND(B83-0.000001,0))</f>
        <v>---</v>
      </c>
      <c r="H83" s="52"/>
      <c r="I83" s="52"/>
      <c r="J83" s="52"/>
      <c r="K83" s="52"/>
      <c r="L83" s="52"/>
      <c r="M83" s="43" t="s">
        <v>84</v>
      </c>
      <c r="N83" s="44" t="s">
        <v>67</v>
      </c>
      <c r="T83" s="39">
        <f>COUNTIF(C79:L82,T$1)</f>
        <v>0</v>
      </c>
      <c r="U83" s="39">
        <f>COUNTIF(C79:L82,U$1)</f>
        <v>0</v>
      </c>
      <c r="V83" s="39">
        <f>COUNTIF(C79:L82,V$1)</f>
        <v>0</v>
      </c>
      <c r="W83" s="39">
        <f>COUNTIF(C79:L82,W$1)</f>
        <v>0</v>
      </c>
      <c r="X83" s="39">
        <f>COUNTIF(C79:L82,X$1)</f>
        <v>0</v>
      </c>
      <c r="Y83" s="39">
        <f>COUNTIF(C79:L82,Y$1)</f>
        <v>0</v>
      </c>
      <c r="IU83" s="41"/>
      <c r="IV83" s="41"/>
    </row>
    <row r="84" spans="255:256" s="39" customFormat="1" ht="15" customHeight="1">
      <c r="IU84" s="41"/>
      <c r="IV84" s="41"/>
    </row>
    <row r="85" spans="1:256" s="39" customFormat="1" ht="15" customHeight="1">
      <c r="A85" s="49" t="s">
        <v>96</v>
      </c>
      <c r="B85" s="50"/>
      <c r="C85" s="51"/>
      <c r="D85" s="40"/>
      <c r="E85" s="40"/>
      <c r="F85" s="40"/>
      <c r="G85" s="40"/>
      <c r="H85" s="40"/>
      <c r="I85" s="40"/>
      <c r="J85" s="40"/>
      <c r="K85" s="40"/>
      <c r="L85" s="40"/>
      <c r="N85" s="54"/>
      <c r="IU85" s="41"/>
      <c r="IV85" s="41"/>
    </row>
    <row r="86" spans="1:256" s="39" customFormat="1" ht="15" customHeight="1">
      <c r="A86" s="90" t="str">
        <f>Optionen!B46&amp;":"</f>
        <v>Arbeiten:</v>
      </c>
      <c r="B86" s="90"/>
      <c r="C86" s="42"/>
      <c r="D86" s="42"/>
      <c r="E86" s="42"/>
      <c r="F86" s="42"/>
      <c r="G86" s="42"/>
      <c r="H86" s="42"/>
      <c r="I86" s="42"/>
      <c r="J86" s="42"/>
      <c r="K86" s="42"/>
      <c r="L86" s="42"/>
      <c r="M86" s="43" t="s">
        <v>78</v>
      </c>
      <c r="N86" s="44">
        <f>IF(COUNT(C86:L86)&gt;0,ROUND(((SUM(C86:L86)/COUNT(C86:L86))-0.004),2),0)</f>
        <v>0</v>
      </c>
      <c r="O86" s="39" t="s">
        <v>79</v>
      </c>
      <c r="P86" s="45">
        <v>1</v>
      </c>
      <c r="Q86" s="39" t="s">
        <v>80</v>
      </c>
      <c r="IU86" s="41"/>
      <c r="IV86" s="41"/>
    </row>
    <row r="87" spans="1:256" s="39" customFormat="1" ht="12.75">
      <c r="A87" s="90" t="str">
        <f>Optionen!B47&amp;":"</f>
        <v>HÜ:</v>
      </c>
      <c r="B87" s="90"/>
      <c r="C87" s="42"/>
      <c r="D87" s="42"/>
      <c r="E87" s="42"/>
      <c r="F87" s="42"/>
      <c r="G87" s="42"/>
      <c r="H87" s="42"/>
      <c r="I87" s="42"/>
      <c r="J87" s="42"/>
      <c r="K87" s="42"/>
      <c r="L87" s="42"/>
      <c r="M87" s="46"/>
      <c r="N87" s="47"/>
      <c r="IU87" s="41"/>
      <c r="IV87" s="41"/>
    </row>
    <row r="88" spans="1:256" s="39" customFormat="1" ht="12.75">
      <c r="A88" s="90" t="str">
        <f>Optionen!B48&amp;":"</f>
        <v>Ausfragen / Referate:</v>
      </c>
      <c r="B88" s="90"/>
      <c r="C88" s="42"/>
      <c r="D88" s="42"/>
      <c r="E88" s="42"/>
      <c r="F88" s="42"/>
      <c r="G88" s="42"/>
      <c r="H88" s="42"/>
      <c r="I88" s="42"/>
      <c r="J88" s="42"/>
      <c r="K88" s="42"/>
      <c r="L88" s="42"/>
      <c r="M88" s="46"/>
      <c r="N88" s="47"/>
      <c r="IU88" s="41"/>
      <c r="IV88" s="41"/>
    </row>
    <row r="89" spans="1:256" s="39" customFormat="1" ht="12.75">
      <c r="A89" s="90" t="str">
        <f>Optionen!B49&amp;":"</f>
        <v>Mitarbeitsnoten:</v>
      </c>
      <c r="B89" s="90"/>
      <c r="C89" s="42"/>
      <c r="D89" s="42"/>
      <c r="E89" s="42"/>
      <c r="F89" s="42"/>
      <c r="G89" s="42"/>
      <c r="H89" s="42"/>
      <c r="I89" s="42"/>
      <c r="J89" s="42"/>
      <c r="K89" s="42"/>
      <c r="L89" s="42"/>
      <c r="M89" s="43" t="s">
        <v>81</v>
      </c>
      <c r="N89" s="44">
        <f>IF(COUNT(C87:L89)&gt;0,ROUND(((SUM(C87:L89)/COUNT(C87:L89))-0.004),2),0)</f>
        <v>0</v>
      </c>
      <c r="O89" s="39" t="s">
        <v>79</v>
      </c>
      <c r="P89" s="45">
        <v>2</v>
      </c>
      <c r="Q89" s="39" t="s">
        <v>80</v>
      </c>
      <c r="IU89" s="41"/>
      <c r="IV89" s="41"/>
    </row>
    <row r="90" spans="1:256" s="39" customFormat="1" ht="12.75">
      <c r="A90" s="43" t="s">
        <v>82</v>
      </c>
      <c r="B90" s="44" t="str">
        <f>IF(IF(P86=0,IF(COUNT(C86:L89)&gt;0,ROUND(((SUM(C86:L89)/COUNT(C86:L89))-0.004),2),0),IF(N86=0,N89,IF(N89=0,N86,TRUNC((P86*N86+P89*N89)/(P86+P89),2))))=0,"-----",IF(P86=0,IF(COUNT(C86:L89)&gt;0,ROUND(((SUM(C86:L89)/COUNT(C86:L89))-0.004),2),0),IF(N86=0,N89,IF(N89=0,N86,TRUNC((P86*N86+P89*N89)/(P86+P89),2)))))</f>
        <v>-----</v>
      </c>
      <c r="C90" s="91" t="s">
        <v>83</v>
      </c>
      <c r="D90" s="91"/>
      <c r="E90" s="91"/>
      <c r="F90" s="91"/>
      <c r="G90" s="48" t="str">
        <f>IF(B90="-----","---",ROUND(B90-0.000001,0))</f>
        <v>---</v>
      </c>
      <c r="H90" s="52"/>
      <c r="I90" s="52"/>
      <c r="J90" s="52"/>
      <c r="K90" s="52"/>
      <c r="L90" s="52"/>
      <c r="M90" s="43" t="s">
        <v>84</v>
      </c>
      <c r="N90" s="44" t="s">
        <v>67</v>
      </c>
      <c r="T90" s="39">
        <f>COUNTIF(C86:L89,T$1)</f>
        <v>0</v>
      </c>
      <c r="U90" s="39">
        <f>COUNTIF(C86:L89,U$1)</f>
        <v>0</v>
      </c>
      <c r="V90" s="39">
        <f>COUNTIF(C86:L89,V$1)</f>
        <v>0</v>
      </c>
      <c r="W90" s="39">
        <f>COUNTIF(C86:L89,W$1)</f>
        <v>0</v>
      </c>
      <c r="X90" s="39">
        <f>COUNTIF(C86:L89,X$1)</f>
        <v>0</v>
      </c>
      <c r="Y90" s="39">
        <f>COUNTIF(C86:L89,Y$1)</f>
        <v>0</v>
      </c>
      <c r="IU90" s="41"/>
      <c r="IV90" s="41"/>
    </row>
    <row r="91" spans="2:256" s="39" customFormat="1" ht="12.75">
      <c r="B91" s="58"/>
      <c r="C91" s="40"/>
      <c r="D91" s="40"/>
      <c r="E91" s="40"/>
      <c r="F91" s="40"/>
      <c r="G91" s="59"/>
      <c r="H91" s="40"/>
      <c r="I91" s="40"/>
      <c r="J91" s="40"/>
      <c r="K91" s="40"/>
      <c r="L91" s="40"/>
      <c r="IU91" s="41"/>
      <c r="IV91" s="41"/>
    </row>
    <row r="92" spans="1:256" s="39" customFormat="1" ht="12.75">
      <c r="A92" s="49" t="s">
        <v>97</v>
      </c>
      <c r="B92" s="50"/>
      <c r="C92" s="51"/>
      <c r="D92" s="40"/>
      <c r="E92" s="40"/>
      <c r="F92" s="40"/>
      <c r="G92" s="40"/>
      <c r="H92" s="40"/>
      <c r="I92" s="40"/>
      <c r="J92" s="40"/>
      <c r="K92" s="40"/>
      <c r="L92" s="40"/>
      <c r="IU92" s="41"/>
      <c r="IV92" s="41"/>
    </row>
    <row r="93" spans="1:256" s="39" customFormat="1" ht="12.75">
      <c r="A93" s="90" t="str">
        <f>Optionen!B46&amp;":"</f>
        <v>Arbeiten:</v>
      </c>
      <c r="B93" s="90"/>
      <c r="C93" s="42"/>
      <c r="D93" s="42"/>
      <c r="E93" s="42"/>
      <c r="F93" s="42"/>
      <c r="G93" s="42"/>
      <c r="H93" s="42"/>
      <c r="I93" s="42"/>
      <c r="J93" s="42"/>
      <c r="K93" s="42"/>
      <c r="L93" s="42"/>
      <c r="M93" s="43" t="s">
        <v>78</v>
      </c>
      <c r="N93" s="44">
        <f>IF(COUNT(C93:L93)&gt;0,ROUND(((SUM(C93:L93)/COUNT(C93:L93))-0.004),2),0)</f>
        <v>0</v>
      </c>
      <c r="O93" s="39" t="s">
        <v>79</v>
      </c>
      <c r="P93" s="45">
        <v>1</v>
      </c>
      <c r="Q93" s="39" t="s">
        <v>80</v>
      </c>
      <c r="IU93" s="41"/>
      <c r="IV93" s="41"/>
    </row>
    <row r="94" spans="1:256" s="39" customFormat="1" ht="12.75">
      <c r="A94" s="90" t="str">
        <f>Optionen!B47&amp;":"</f>
        <v>HÜ:</v>
      </c>
      <c r="B94" s="90"/>
      <c r="C94" s="42"/>
      <c r="D94" s="42"/>
      <c r="E94" s="42"/>
      <c r="F94" s="42"/>
      <c r="G94" s="42"/>
      <c r="H94" s="42"/>
      <c r="I94" s="42"/>
      <c r="J94" s="42"/>
      <c r="K94" s="42"/>
      <c r="L94" s="42"/>
      <c r="M94" s="46"/>
      <c r="N94" s="47"/>
      <c r="AD94" s="39">
        <f>AC94*10</f>
        <v>0</v>
      </c>
      <c r="IU94" s="41"/>
      <c r="IV94" s="41"/>
    </row>
    <row r="95" spans="1:256" s="39" customFormat="1" ht="12.75">
      <c r="A95" s="90" t="str">
        <f>Optionen!B48&amp;":"</f>
        <v>Ausfragen / Referate:</v>
      </c>
      <c r="B95" s="90"/>
      <c r="C95" s="42"/>
      <c r="D95" s="42"/>
      <c r="E95" s="42"/>
      <c r="F95" s="42"/>
      <c r="G95" s="42"/>
      <c r="H95" s="42"/>
      <c r="I95" s="42"/>
      <c r="J95" s="42"/>
      <c r="K95" s="42"/>
      <c r="L95" s="42"/>
      <c r="M95" s="46"/>
      <c r="N95" s="47"/>
      <c r="IU95" s="41"/>
      <c r="IV95" s="41"/>
    </row>
    <row r="96" spans="1:256" s="39" customFormat="1" ht="12.75" customHeight="1">
      <c r="A96" s="90" t="str">
        <f>Optionen!B49&amp;":"</f>
        <v>Mitarbeitsnoten:</v>
      </c>
      <c r="B96" s="90"/>
      <c r="C96" s="42"/>
      <c r="D96" s="42"/>
      <c r="E96" s="42"/>
      <c r="F96" s="42"/>
      <c r="G96" s="42"/>
      <c r="H96" s="42"/>
      <c r="I96" s="42"/>
      <c r="J96" s="42"/>
      <c r="K96" s="42"/>
      <c r="L96" s="42"/>
      <c r="M96" s="43" t="s">
        <v>81</v>
      </c>
      <c r="N96" s="44">
        <f>IF(COUNT(C94:L96)&gt;0,ROUND(((SUM(C94:L96)/COUNT(C94:L96))-0.004),2),0)</f>
        <v>0</v>
      </c>
      <c r="O96" s="39" t="s">
        <v>79</v>
      </c>
      <c r="P96" s="45">
        <v>2</v>
      </c>
      <c r="Q96" s="39" t="s">
        <v>80</v>
      </c>
      <c r="IU96" s="41"/>
      <c r="IV96" s="41"/>
    </row>
    <row r="97" spans="1:256" s="39" customFormat="1" ht="12.75">
      <c r="A97" s="43" t="s">
        <v>82</v>
      </c>
      <c r="B97" s="44" t="str">
        <f>IF(IF(P93=0,IF(COUNT(C93:L96)&gt;0,ROUND(((SUM(C93:L96)/COUNT(C93:L96))-0.004),2),0),IF(N93=0,N96,IF(N96=0,N93,TRUNC((P93*N93+P96*N96)/(P93+P96),2))))=0,"-----",IF(P93=0,IF(COUNT(C93:L96)&gt;0,ROUND(((SUM(C93:L96)/COUNT(C93:L96))-0.004),2),0),IF(N93=0,N96,IF(N96=0,N93,TRUNC((P93*N93+P96*N96)/(P93+P96),2)))))</f>
        <v>-----</v>
      </c>
      <c r="C97" s="91" t="s">
        <v>83</v>
      </c>
      <c r="D97" s="91"/>
      <c r="E97" s="91"/>
      <c r="F97" s="91"/>
      <c r="G97" s="48" t="str">
        <f>IF(B97="-----","---",ROUND(B97-0.000001,0))</f>
        <v>---</v>
      </c>
      <c r="H97" s="52"/>
      <c r="I97" s="52"/>
      <c r="J97" s="52"/>
      <c r="K97" s="52"/>
      <c r="L97" s="52"/>
      <c r="M97" s="43" t="s">
        <v>84</v>
      </c>
      <c r="N97" s="44" t="s">
        <v>67</v>
      </c>
      <c r="T97" s="39">
        <f>COUNTIF(C93:L96,T$1)</f>
        <v>0</v>
      </c>
      <c r="U97" s="39">
        <f>COUNTIF(C93:L96,U$1)</f>
        <v>0</v>
      </c>
      <c r="V97" s="39">
        <f>COUNTIF(C93:L96,V$1)</f>
        <v>0</v>
      </c>
      <c r="W97" s="39">
        <f>COUNTIF(C93:L96,W$1)</f>
        <v>0</v>
      </c>
      <c r="X97" s="39">
        <f>COUNTIF(C93:L96,X$1)</f>
        <v>0</v>
      </c>
      <c r="Y97" s="39">
        <f>COUNTIF(C93:L96,Y$1)</f>
        <v>0</v>
      </c>
      <c r="IU97" s="41"/>
      <c r="IV97" s="41"/>
    </row>
    <row r="98" spans="255:256" s="39" customFormat="1" ht="12.75">
      <c r="IU98" s="41"/>
      <c r="IV98" s="41"/>
    </row>
    <row r="99" spans="1:256" s="39" customFormat="1" ht="12.75">
      <c r="A99" s="49" t="s">
        <v>98</v>
      </c>
      <c r="C99" s="40"/>
      <c r="D99" s="40"/>
      <c r="E99" s="40"/>
      <c r="F99" s="40"/>
      <c r="G99" s="40"/>
      <c r="H99" s="40"/>
      <c r="I99" s="40"/>
      <c r="J99" s="40"/>
      <c r="K99" s="40"/>
      <c r="L99" s="40"/>
      <c r="IU99" s="41"/>
      <c r="IV99" s="41"/>
    </row>
    <row r="100" spans="1:256" s="39" customFormat="1" ht="12.75">
      <c r="A100" s="90" t="str">
        <f>Optionen!B46&amp;":"</f>
        <v>Arbeiten:</v>
      </c>
      <c r="B100" s="90"/>
      <c r="C100" s="42"/>
      <c r="D100" s="42"/>
      <c r="E100" s="42"/>
      <c r="F100" s="42"/>
      <c r="G100" s="42"/>
      <c r="H100" s="42"/>
      <c r="I100" s="42"/>
      <c r="J100" s="42"/>
      <c r="K100" s="42"/>
      <c r="L100" s="42"/>
      <c r="M100" s="43" t="s">
        <v>78</v>
      </c>
      <c r="N100" s="44">
        <f>IF(COUNT(C100:L100)&gt;0,ROUND(((SUM(C100:L100)/COUNT(C100:L100))-0.004),2),0)</f>
        <v>0</v>
      </c>
      <c r="O100" s="39" t="s">
        <v>79</v>
      </c>
      <c r="P100" s="45">
        <v>1</v>
      </c>
      <c r="Q100" s="39" t="s">
        <v>80</v>
      </c>
      <c r="IU100" s="41"/>
      <c r="IV100" s="41"/>
    </row>
    <row r="101" spans="1:256" s="39" customFormat="1" ht="12.75">
      <c r="A101" s="90" t="str">
        <f>Optionen!B47&amp;":"</f>
        <v>HÜ:</v>
      </c>
      <c r="B101" s="90"/>
      <c r="C101" s="42"/>
      <c r="D101" s="42"/>
      <c r="E101" s="42"/>
      <c r="F101" s="42"/>
      <c r="G101" s="42"/>
      <c r="H101" s="42"/>
      <c r="I101" s="42"/>
      <c r="J101" s="42"/>
      <c r="K101" s="42"/>
      <c r="L101" s="42"/>
      <c r="M101" s="46"/>
      <c r="N101" s="47"/>
      <c r="IU101" s="41"/>
      <c r="IV101" s="41"/>
    </row>
    <row r="102" spans="1:256" s="39" customFormat="1" ht="12.75">
      <c r="A102" s="90" t="str">
        <f>Optionen!B48&amp;":"</f>
        <v>Ausfragen / Referate:</v>
      </c>
      <c r="B102" s="90"/>
      <c r="C102" s="42"/>
      <c r="D102" s="42"/>
      <c r="E102" s="42"/>
      <c r="F102" s="42"/>
      <c r="G102" s="42"/>
      <c r="H102" s="42"/>
      <c r="I102" s="42"/>
      <c r="J102" s="42"/>
      <c r="K102" s="42"/>
      <c r="L102" s="42"/>
      <c r="M102" s="46"/>
      <c r="N102" s="47"/>
      <c r="IU102" s="41"/>
      <c r="IV102" s="41"/>
    </row>
    <row r="103" spans="1:256" s="39" customFormat="1" ht="12.75">
      <c r="A103" s="90" t="str">
        <f>Optionen!B49&amp;":"</f>
        <v>Mitarbeitsnoten:</v>
      </c>
      <c r="B103" s="90"/>
      <c r="C103" s="42"/>
      <c r="D103" s="42"/>
      <c r="E103" s="42"/>
      <c r="F103" s="42"/>
      <c r="G103" s="42"/>
      <c r="H103" s="42"/>
      <c r="I103" s="42"/>
      <c r="J103" s="42"/>
      <c r="K103" s="42"/>
      <c r="L103" s="42"/>
      <c r="M103" s="43" t="s">
        <v>81</v>
      </c>
      <c r="N103" s="44">
        <f>IF(COUNT(C101:L103)&gt;0,ROUND(((SUM(C101:L103)/COUNT(C101:L103))-0.004),2),0)</f>
        <v>0</v>
      </c>
      <c r="O103" s="39" t="s">
        <v>79</v>
      </c>
      <c r="P103" s="45">
        <v>2</v>
      </c>
      <c r="Q103" s="39" t="s">
        <v>80</v>
      </c>
      <c r="IU103" s="41"/>
      <c r="IV103" s="41"/>
    </row>
    <row r="104" spans="1:256" s="39" customFormat="1" ht="12.75">
      <c r="A104" s="43" t="s">
        <v>82</v>
      </c>
      <c r="B104" s="44" t="str">
        <f>IF(IF(P100=0,IF(COUNT(C100:L103)&gt;0,ROUND(((SUM(C100:L103)/COUNT(C100:L103))-0.004),2),0),IF(N100=0,N103,IF(N103=0,N100,TRUNC((P100*N100+P103*N103)/(P100+P103),2))))=0,"-----",IF(P100=0,IF(COUNT(C100:L103)&gt;0,ROUND(((SUM(C100:L103)/COUNT(C100:L103))-0.004),2),0),IF(N100=0,N103,IF(N103=0,N100,TRUNC((P100*N100+P103*N103)/(P100+P103),2)))))</f>
        <v>-----</v>
      </c>
      <c r="C104" s="91" t="s">
        <v>83</v>
      </c>
      <c r="D104" s="91"/>
      <c r="E104" s="91"/>
      <c r="F104" s="91"/>
      <c r="G104" s="48" t="str">
        <f>IF(B104="-----","---",ROUND(B104-0.000001,0))</f>
        <v>---</v>
      </c>
      <c r="H104" s="52"/>
      <c r="I104" s="52"/>
      <c r="J104" s="52"/>
      <c r="K104" s="52"/>
      <c r="L104" s="52"/>
      <c r="M104" s="43" t="s">
        <v>84</v>
      </c>
      <c r="N104" s="44" t="s">
        <v>67</v>
      </c>
      <c r="T104" s="39">
        <f>COUNTIF(C100:L103,T$1)</f>
        <v>0</v>
      </c>
      <c r="U104" s="39">
        <f>COUNTIF(C100:L103,U$1)</f>
        <v>0</v>
      </c>
      <c r="V104" s="39">
        <f>COUNTIF(C100:L103,V$1)</f>
        <v>0</v>
      </c>
      <c r="W104" s="39">
        <f>COUNTIF(C100:L103,W$1)</f>
        <v>0</v>
      </c>
      <c r="X104" s="39">
        <f>COUNTIF(C100:L103,X$1)</f>
        <v>0</v>
      </c>
      <c r="Y104" s="39">
        <f>COUNTIF(C100:L103,Y$1)</f>
        <v>0</v>
      </c>
      <c r="AD104" s="39">
        <f>AC104*10</f>
        <v>0</v>
      </c>
      <c r="IU104" s="41"/>
      <c r="IV104" s="41"/>
    </row>
    <row r="105" spans="255:256" s="39" customFormat="1" ht="12.75">
      <c r="IU105" s="41"/>
      <c r="IV105" s="41"/>
    </row>
    <row r="106" spans="1:256" s="39" customFormat="1" ht="12.75">
      <c r="A106" s="49" t="s">
        <v>99</v>
      </c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IU106" s="41"/>
      <c r="IV106" s="41"/>
    </row>
    <row r="107" spans="1:256" s="39" customFormat="1" ht="12.75">
      <c r="A107" s="90" t="str">
        <f>Optionen!B46&amp;":"</f>
        <v>Arbeiten:</v>
      </c>
      <c r="B107" s="90"/>
      <c r="C107" s="42"/>
      <c r="D107" s="42"/>
      <c r="E107" s="42"/>
      <c r="F107" s="42"/>
      <c r="G107" s="42"/>
      <c r="H107" s="42"/>
      <c r="I107" s="42"/>
      <c r="J107" s="42"/>
      <c r="K107" s="42"/>
      <c r="L107" s="42"/>
      <c r="M107" s="43" t="s">
        <v>78</v>
      </c>
      <c r="N107" s="44">
        <f>IF(COUNT(C107:L107)&gt;0,ROUND(((SUM(C107:L107)/COUNT(C107:L107))-0.004),2),0)</f>
        <v>0</v>
      </c>
      <c r="O107" s="39" t="s">
        <v>79</v>
      </c>
      <c r="P107" s="45">
        <v>1</v>
      </c>
      <c r="Q107" s="39" t="s">
        <v>80</v>
      </c>
      <c r="IU107" s="41"/>
      <c r="IV107" s="41"/>
    </row>
    <row r="108" spans="1:256" s="39" customFormat="1" ht="12.75">
      <c r="A108" s="90" t="str">
        <f>Optionen!B47&amp;":"</f>
        <v>HÜ:</v>
      </c>
      <c r="B108" s="90"/>
      <c r="C108" s="42"/>
      <c r="D108" s="42"/>
      <c r="E108" s="42"/>
      <c r="F108" s="42"/>
      <c r="G108" s="42"/>
      <c r="H108" s="42"/>
      <c r="I108" s="42"/>
      <c r="J108" s="42"/>
      <c r="K108" s="42"/>
      <c r="L108" s="42"/>
      <c r="M108" s="46"/>
      <c r="N108" s="47"/>
      <c r="AD108" s="39">
        <f>AC108*10</f>
        <v>0</v>
      </c>
      <c r="IU108" s="41"/>
      <c r="IV108" s="41"/>
    </row>
    <row r="109" spans="1:256" s="39" customFormat="1" ht="12.75" customHeight="1">
      <c r="A109" s="90" t="str">
        <f>Optionen!B48&amp;":"</f>
        <v>Ausfragen / Referate:</v>
      </c>
      <c r="B109" s="90"/>
      <c r="C109" s="42"/>
      <c r="D109" s="42"/>
      <c r="E109" s="42"/>
      <c r="F109" s="42"/>
      <c r="G109" s="42"/>
      <c r="H109" s="42"/>
      <c r="I109" s="42"/>
      <c r="J109" s="42"/>
      <c r="K109" s="42"/>
      <c r="L109" s="42"/>
      <c r="M109" s="46"/>
      <c r="N109" s="47"/>
      <c r="IU109" s="41"/>
      <c r="IV109" s="41"/>
    </row>
    <row r="110" spans="1:256" s="39" customFormat="1" ht="12.75">
      <c r="A110" s="90" t="str">
        <f>Optionen!B49&amp;":"</f>
        <v>Mitarbeitsnoten:</v>
      </c>
      <c r="B110" s="90"/>
      <c r="C110" s="42"/>
      <c r="D110" s="42"/>
      <c r="E110" s="42"/>
      <c r="F110" s="42"/>
      <c r="G110" s="42"/>
      <c r="H110" s="42"/>
      <c r="I110" s="42"/>
      <c r="J110" s="42"/>
      <c r="K110" s="42"/>
      <c r="L110" s="42"/>
      <c r="M110" s="43" t="s">
        <v>81</v>
      </c>
      <c r="N110" s="44">
        <f>IF(COUNT(C108:L110)&gt;0,ROUND(((SUM(C108:L110)/COUNT(C108:L110))-0.004),2),0)</f>
        <v>0</v>
      </c>
      <c r="O110" s="39" t="s">
        <v>79</v>
      </c>
      <c r="P110" s="45">
        <v>2</v>
      </c>
      <c r="Q110" s="39" t="s">
        <v>80</v>
      </c>
      <c r="IU110" s="41"/>
      <c r="IV110" s="41"/>
    </row>
    <row r="111" spans="1:256" s="39" customFormat="1" ht="12.75">
      <c r="A111" s="43" t="s">
        <v>82</v>
      </c>
      <c r="B111" s="44" t="str">
        <f>IF(IF(P107=0,IF(COUNT(C107:L110)&gt;0,ROUND(((SUM(C107:L110)/COUNT(C107:L110))-0.004),2),0),IF(N107=0,N110,IF(N110=0,N107,TRUNC((P107*N107+P110*N110)/(P107+P110),2))))=0,"-----",IF(P107=0,IF(COUNT(C107:L110)&gt;0,ROUND(((SUM(C107:L110)/COUNT(C107:L110))-0.004),2),0),IF(N107=0,N110,IF(N110=0,N107,TRUNC((P107*N107+P110*N110)/(P107+P110),2)))))</f>
        <v>-----</v>
      </c>
      <c r="C111" s="91" t="s">
        <v>83</v>
      </c>
      <c r="D111" s="91"/>
      <c r="E111" s="91"/>
      <c r="F111" s="91"/>
      <c r="G111" s="48" t="str">
        <f>IF(B111="-----","---",ROUND(B111-0.000001,0))</f>
        <v>---</v>
      </c>
      <c r="H111" s="52"/>
      <c r="I111" s="52"/>
      <c r="J111" s="52"/>
      <c r="K111" s="52"/>
      <c r="L111" s="52"/>
      <c r="M111" s="43" t="s">
        <v>84</v>
      </c>
      <c r="N111" s="44" t="s">
        <v>67</v>
      </c>
      <c r="T111" s="39">
        <f>COUNTIF(C107:L110,T$1)</f>
        <v>0</v>
      </c>
      <c r="U111" s="39">
        <f>COUNTIF(C107:L110,U$1)</f>
        <v>0</v>
      </c>
      <c r="V111" s="39">
        <f>COUNTIF(C107:L110,V$1)</f>
        <v>0</v>
      </c>
      <c r="W111" s="39">
        <f>COUNTIF(C107:L110,W$1)</f>
        <v>0</v>
      </c>
      <c r="X111" s="39">
        <f>COUNTIF(C107:L110,X$1)</f>
        <v>0</v>
      </c>
      <c r="Y111" s="39">
        <f>COUNTIF(C107:L110,Y$1)</f>
        <v>0</v>
      </c>
      <c r="IU111" s="41"/>
      <c r="IV111" s="41"/>
    </row>
    <row r="112" spans="255:256" s="39" customFormat="1" ht="12.75">
      <c r="IU112" s="41"/>
      <c r="IV112" s="41"/>
    </row>
    <row r="113" spans="1:256" s="39" customFormat="1" ht="12.75">
      <c r="A113" s="49" t="s">
        <v>100</v>
      </c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IU113" s="41"/>
      <c r="IV113" s="41"/>
    </row>
    <row r="114" spans="1:256" s="39" customFormat="1" ht="12.75">
      <c r="A114" s="90" t="str">
        <f>Optionen!B46&amp;":"</f>
        <v>Arbeiten:</v>
      </c>
      <c r="B114" s="90"/>
      <c r="C114" s="42"/>
      <c r="D114" s="42"/>
      <c r="E114" s="42"/>
      <c r="F114" s="42"/>
      <c r="G114" s="42"/>
      <c r="H114" s="42"/>
      <c r="I114" s="42"/>
      <c r="J114" s="42"/>
      <c r="K114" s="42"/>
      <c r="L114" s="42"/>
      <c r="M114" s="43" t="s">
        <v>78</v>
      </c>
      <c r="N114" s="44">
        <f>IF(COUNT(C114:L114)&gt;0,ROUND(((SUM(C114:L114)/COUNT(C114:L114))-0.004),2),0)</f>
        <v>0</v>
      </c>
      <c r="O114" s="39" t="s">
        <v>79</v>
      </c>
      <c r="P114" s="45">
        <v>1</v>
      </c>
      <c r="Q114" s="39" t="s">
        <v>80</v>
      </c>
      <c r="AD114" s="39">
        <f>AC114*10</f>
        <v>0</v>
      </c>
      <c r="IU114" s="41"/>
      <c r="IV114" s="41"/>
    </row>
    <row r="115" spans="1:256" s="39" customFormat="1" ht="12.75" customHeight="1">
      <c r="A115" s="90" t="str">
        <f>Optionen!B47&amp;":"</f>
        <v>HÜ:</v>
      </c>
      <c r="B115" s="90"/>
      <c r="C115" s="42"/>
      <c r="D115" s="42"/>
      <c r="E115" s="42"/>
      <c r="F115" s="42"/>
      <c r="G115" s="42"/>
      <c r="H115" s="42"/>
      <c r="I115" s="42"/>
      <c r="J115" s="42"/>
      <c r="K115" s="42"/>
      <c r="L115" s="42"/>
      <c r="M115" s="46"/>
      <c r="N115" s="47"/>
      <c r="IU115" s="41"/>
      <c r="IV115" s="41"/>
    </row>
    <row r="116" spans="1:256" s="39" customFormat="1" ht="12.75">
      <c r="A116" s="90" t="str">
        <f>Optionen!B48&amp;":"</f>
        <v>Ausfragen / Referate:</v>
      </c>
      <c r="B116" s="90"/>
      <c r="C116" s="42"/>
      <c r="D116" s="42"/>
      <c r="E116" s="42"/>
      <c r="F116" s="42"/>
      <c r="G116" s="42"/>
      <c r="H116" s="42"/>
      <c r="I116" s="42"/>
      <c r="J116" s="42"/>
      <c r="K116" s="42"/>
      <c r="L116" s="42"/>
      <c r="M116" s="46"/>
      <c r="N116" s="47"/>
      <c r="IU116" s="41"/>
      <c r="IV116" s="41"/>
    </row>
    <row r="117" spans="1:256" s="39" customFormat="1" ht="12.75">
      <c r="A117" s="90" t="str">
        <f>Optionen!B49&amp;":"</f>
        <v>Mitarbeitsnoten:</v>
      </c>
      <c r="B117" s="90"/>
      <c r="C117" s="42"/>
      <c r="D117" s="42"/>
      <c r="E117" s="42"/>
      <c r="F117" s="42"/>
      <c r="G117" s="42"/>
      <c r="H117" s="42"/>
      <c r="I117" s="42"/>
      <c r="J117" s="42"/>
      <c r="K117" s="42"/>
      <c r="L117" s="42"/>
      <c r="M117" s="43" t="s">
        <v>81</v>
      </c>
      <c r="N117" s="44">
        <f>IF(COUNT(C115:L117)&gt;0,ROUND(((SUM(C115:L117)/COUNT(C115:L117))-0.004),2),0)</f>
        <v>0</v>
      </c>
      <c r="O117" s="39" t="s">
        <v>79</v>
      </c>
      <c r="P117" s="45">
        <v>2</v>
      </c>
      <c r="Q117" s="39" t="s">
        <v>80</v>
      </c>
      <c r="IU117" s="41"/>
      <c r="IV117" s="41"/>
    </row>
    <row r="118" spans="1:256" s="39" customFormat="1" ht="12.75">
      <c r="A118" s="43" t="s">
        <v>82</v>
      </c>
      <c r="B118" s="44" t="str">
        <f>IF(IF(P114=0,IF(COUNT(C114:L117)&gt;0,ROUND(((SUM(C114:L117)/COUNT(C114:L117))-0.004),2),0),IF(N114=0,N117,IF(N117=0,N114,TRUNC((P114*N114+P117*N117)/(P114+P117),2))))=0,"-----",IF(P114=0,IF(COUNT(C114:L117)&gt;0,ROUND(((SUM(C114:L117)/COUNT(C114:L117))-0.004),2),0),IF(N114=0,N117,IF(N117=0,N114,TRUNC((P114*N114+P117*N117)/(P114+P117),2)))))</f>
        <v>-----</v>
      </c>
      <c r="C118" s="91" t="s">
        <v>83</v>
      </c>
      <c r="D118" s="91"/>
      <c r="E118" s="91"/>
      <c r="F118" s="91"/>
      <c r="G118" s="48" t="str">
        <f>IF(B118="-----","---",ROUND(B118-0.000001,0))</f>
        <v>---</v>
      </c>
      <c r="H118" s="52"/>
      <c r="I118" s="52"/>
      <c r="J118" s="52"/>
      <c r="K118" s="52"/>
      <c r="L118" s="52"/>
      <c r="M118" s="43" t="s">
        <v>84</v>
      </c>
      <c r="N118" s="44" t="s">
        <v>101</v>
      </c>
      <c r="T118" s="39">
        <f>COUNTIF(C114:L117,T$1)</f>
        <v>0</v>
      </c>
      <c r="U118" s="39">
        <f>COUNTIF(C114:L117,U$1)</f>
        <v>0</v>
      </c>
      <c r="V118" s="39">
        <f>COUNTIF(C114:L117,V$1)</f>
        <v>0</v>
      </c>
      <c r="W118" s="39">
        <f>COUNTIF(C114:L117,W$1)</f>
        <v>0</v>
      </c>
      <c r="X118" s="39">
        <f>COUNTIF(C114:L117,X$1)</f>
        <v>0</v>
      </c>
      <c r="Y118" s="39">
        <f>COUNTIF(C114:L117,Y$1)</f>
        <v>0</v>
      </c>
      <c r="IU118" s="41"/>
      <c r="IV118" s="41"/>
    </row>
    <row r="119" spans="1:256" s="39" customFormat="1" ht="12.75">
      <c r="A119" s="50"/>
      <c r="B119" s="50"/>
      <c r="C119" s="50"/>
      <c r="D119" s="50"/>
      <c r="E119" s="50"/>
      <c r="F119" s="50"/>
      <c r="G119" s="50"/>
      <c r="H119" s="50"/>
      <c r="I119" s="50"/>
      <c r="J119" s="50"/>
      <c r="K119" s="50"/>
      <c r="L119" s="50"/>
      <c r="M119" s="50"/>
      <c r="N119" s="50"/>
      <c r="O119" s="50"/>
      <c r="IU119" s="41"/>
      <c r="IV119" s="41"/>
    </row>
    <row r="120" spans="1:256" s="39" customFormat="1" ht="12.75">
      <c r="A120" s="49" t="s">
        <v>102</v>
      </c>
      <c r="C120" s="40"/>
      <c r="D120" s="40"/>
      <c r="E120" s="40"/>
      <c r="F120" s="40"/>
      <c r="G120" s="40"/>
      <c r="H120" s="40"/>
      <c r="I120" s="40"/>
      <c r="J120" s="40"/>
      <c r="K120" s="40"/>
      <c r="L120" s="40"/>
      <c r="IU120" s="41"/>
      <c r="IV120" s="41"/>
    </row>
    <row r="121" spans="1:256" s="39" customFormat="1" ht="12.75">
      <c r="A121" s="90" t="str">
        <f>Optionen!B46&amp;":"</f>
        <v>Arbeiten:</v>
      </c>
      <c r="B121" s="90"/>
      <c r="C121" s="42"/>
      <c r="D121" s="42"/>
      <c r="E121" s="42"/>
      <c r="F121" s="42"/>
      <c r="G121" s="42"/>
      <c r="H121" s="42"/>
      <c r="I121" s="42"/>
      <c r="J121" s="42"/>
      <c r="K121" s="42"/>
      <c r="L121" s="42"/>
      <c r="M121" s="43" t="s">
        <v>78</v>
      </c>
      <c r="N121" s="44">
        <f>IF(COUNT(C121:L121)&gt;0,ROUND(((SUM(C121:L121)/COUNT(C121:L121))-0.004),2),0)</f>
        <v>0</v>
      </c>
      <c r="O121" s="39" t="s">
        <v>79</v>
      </c>
      <c r="P121" s="45">
        <v>1</v>
      </c>
      <c r="Q121" s="39" t="s">
        <v>80</v>
      </c>
      <c r="IU121" s="41"/>
      <c r="IV121" s="41"/>
    </row>
    <row r="122" spans="1:256" s="39" customFormat="1" ht="12.75">
      <c r="A122" s="90" t="str">
        <f>Optionen!B47&amp;":"</f>
        <v>HÜ:</v>
      </c>
      <c r="B122" s="90"/>
      <c r="C122" s="42"/>
      <c r="D122" s="42"/>
      <c r="E122" s="42"/>
      <c r="F122" s="42"/>
      <c r="G122" s="42"/>
      <c r="H122" s="42"/>
      <c r="I122" s="42"/>
      <c r="J122" s="42"/>
      <c r="K122" s="42"/>
      <c r="L122" s="42"/>
      <c r="M122" s="46"/>
      <c r="N122" s="47"/>
      <c r="IU122" s="41"/>
      <c r="IV122" s="41"/>
    </row>
    <row r="123" spans="1:256" s="39" customFormat="1" ht="12.75">
      <c r="A123" s="90" t="str">
        <f>Optionen!B48&amp;":"</f>
        <v>Ausfragen / Referate:</v>
      </c>
      <c r="B123" s="90"/>
      <c r="C123" s="42"/>
      <c r="D123" s="42"/>
      <c r="E123" s="42"/>
      <c r="F123" s="42"/>
      <c r="G123" s="42"/>
      <c r="H123" s="42"/>
      <c r="I123" s="42"/>
      <c r="J123" s="42"/>
      <c r="K123" s="42"/>
      <c r="L123" s="42"/>
      <c r="M123" s="46"/>
      <c r="N123" s="47"/>
      <c r="IU123" s="41"/>
      <c r="IV123" s="41"/>
    </row>
    <row r="124" spans="1:256" s="39" customFormat="1" ht="12.75">
      <c r="A124" s="90" t="str">
        <f>Optionen!B49&amp;":"</f>
        <v>Mitarbeitsnoten:</v>
      </c>
      <c r="B124" s="90"/>
      <c r="C124" s="42"/>
      <c r="D124" s="42"/>
      <c r="E124" s="42"/>
      <c r="F124" s="42"/>
      <c r="G124" s="42"/>
      <c r="H124" s="42"/>
      <c r="I124" s="42"/>
      <c r="J124" s="42"/>
      <c r="K124" s="42"/>
      <c r="L124" s="42"/>
      <c r="M124" s="43" t="s">
        <v>81</v>
      </c>
      <c r="N124" s="44">
        <f>IF(COUNT(C122:L124)&gt;0,ROUND(((SUM(C122:L124)/COUNT(C122:L124))-0.004),2),0)</f>
        <v>0</v>
      </c>
      <c r="O124" s="39" t="s">
        <v>79</v>
      </c>
      <c r="P124" s="45">
        <v>2</v>
      </c>
      <c r="Q124" s="39" t="s">
        <v>80</v>
      </c>
      <c r="IU124" s="41"/>
      <c r="IV124" s="41"/>
    </row>
    <row r="125" spans="1:256" s="39" customFormat="1" ht="12.75">
      <c r="A125" s="43" t="s">
        <v>82</v>
      </c>
      <c r="B125" s="44" t="str">
        <f>IF(IF(P121=0,IF(COUNT(C121:L124)&gt;0,ROUND(((SUM(C121:L124)/COUNT(C121:L124))-0.004),2),0),IF(N121=0,N124,IF(N124=0,N121,TRUNC((P121*N121+P124*N124)/(P121+P124),2))))=0,"-----",IF(P121=0,IF(COUNT(C121:L124)&gt;0,ROUND(((SUM(C121:L124)/COUNT(C121:L124))-0.004),2),0),IF(N121=0,N124,IF(N124=0,N121,TRUNC((P121*N121+P124*N124)/(P121+P124),2)))))</f>
        <v>-----</v>
      </c>
      <c r="C125" s="91" t="s">
        <v>83</v>
      </c>
      <c r="D125" s="91"/>
      <c r="E125" s="91"/>
      <c r="F125" s="91"/>
      <c r="G125" s="48" t="str">
        <f>IF(B125="-----","---",ROUND(B125-0.000001,0))</f>
        <v>---</v>
      </c>
      <c r="H125" s="52"/>
      <c r="I125" s="52"/>
      <c r="J125" s="52"/>
      <c r="K125" s="52"/>
      <c r="L125" s="52"/>
      <c r="M125" s="43" t="s">
        <v>84</v>
      </c>
      <c r="N125" s="44" t="s">
        <v>67</v>
      </c>
      <c r="T125" s="39">
        <f>COUNTIF(C121:L124,T$1)</f>
        <v>0</v>
      </c>
      <c r="U125" s="39">
        <f>COUNTIF(C121:L124,U$1)</f>
        <v>0</v>
      </c>
      <c r="V125" s="39">
        <f>COUNTIF(C121:L124,V$1)</f>
        <v>0</v>
      </c>
      <c r="W125" s="39">
        <f>COUNTIF(C121:L124,W$1)</f>
        <v>0</v>
      </c>
      <c r="X125" s="39">
        <f>COUNTIF(C121:L124,X$1)</f>
        <v>0</v>
      </c>
      <c r="Y125" s="39">
        <f>COUNTIF(C121:L124,Y$1)</f>
        <v>0</v>
      </c>
      <c r="IU125" s="41"/>
      <c r="IV125" s="41"/>
    </row>
    <row r="126" spans="255:256" s="39" customFormat="1" ht="12.75">
      <c r="IU126" s="41"/>
      <c r="IV126" s="41"/>
    </row>
    <row r="127" spans="1:256" s="39" customFormat="1" ht="12.75">
      <c r="A127" s="49" t="s">
        <v>103</v>
      </c>
      <c r="C127" s="40"/>
      <c r="D127" s="40"/>
      <c r="E127" s="40"/>
      <c r="F127" s="40"/>
      <c r="G127" s="40"/>
      <c r="H127" s="40"/>
      <c r="I127" s="40"/>
      <c r="J127" s="40"/>
      <c r="K127" s="40"/>
      <c r="L127" s="40"/>
      <c r="IU127" s="41"/>
      <c r="IV127" s="41"/>
    </row>
    <row r="128" spans="1:256" s="39" customFormat="1" ht="12.75">
      <c r="A128" s="90" t="str">
        <f>Optionen!B46&amp;":"</f>
        <v>Arbeiten:</v>
      </c>
      <c r="B128" s="90"/>
      <c r="C128" s="42"/>
      <c r="D128" s="42"/>
      <c r="E128" s="42"/>
      <c r="F128" s="42"/>
      <c r="G128" s="42"/>
      <c r="H128" s="42"/>
      <c r="I128" s="42"/>
      <c r="J128" s="42"/>
      <c r="K128" s="42"/>
      <c r="L128" s="42"/>
      <c r="M128" s="43" t="s">
        <v>78</v>
      </c>
      <c r="N128" s="44">
        <f>IF(COUNT(C128:L128)&gt;0,ROUND(((SUM(C128:L128)/COUNT(C128:L128))-0.004),2),0)</f>
        <v>0</v>
      </c>
      <c r="O128" s="39" t="s">
        <v>79</v>
      </c>
      <c r="P128" s="45">
        <v>1</v>
      </c>
      <c r="Q128" s="39" t="s">
        <v>80</v>
      </c>
      <c r="IU128" s="41"/>
      <c r="IV128" s="41"/>
    </row>
    <row r="129" spans="1:256" s="39" customFormat="1" ht="12.75">
      <c r="A129" s="90" t="str">
        <f>Optionen!B47&amp;":"</f>
        <v>HÜ:</v>
      </c>
      <c r="B129" s="90"/>
      <c r="C129" s="42"/>
      <c r="D129" s="42"/>
      <c r="E129" s="42"/>
      <c r="F129" s="42"/>
      <c r="G129" s="42"/>
      <c r="H129" s="42"/>
      <c r="I129" s="42"/>
      <c r="J129" s="42"/>
      <c r="K129" s="42"/>
      <c r="L129" s="42"/>
      <c r="M129" s="46"/>
      <c r="N129" s="47"/>
      <c r="IU129" s="41"/>
      <c r="IV129" s="41"/>
    </row>
    <row r="130" spans="1:256" s="39" customFormat="1" ht="12.75">
      <c r="A130" s="90" t="str">
        <f>Optionen!B48&amp;":"</f>
        <v>Ausfragen / Referate:</v>
      </c>
      <c r="B130" s="90"/>
      <c r="C130" s="42"/>
      <c r="D130" s="42"/>
      <c r="E130" s="42"/>
      <c r="F130" s="42"/>
      <c r="G130" s="42"/>
      <c r="H130" s="42"/>
      <c r="I130" s="42"/>
      <c r="J130" s="42"/>
      <c r="K130" s="42"/>
      <c r="L130" s="42"/>
      <c r="M130" s="46"/>
      <c r="N130" s="47"/>
      <c r="IU130" s="41"/>
      <c r="IV130" s="41"/>
    </row>
    <row r="131" spans="1:256" s="39" customFormat="1" ht="12.75">
      <c r="A131" s="90" t="str">
        <f>Optionen!B49&amp;":"</f>
        <v>Mitarbeitsnoten:</v>
      </c>
      <c r="B131" s="90"/>
      <c r="C131" s="42"/>
      <c r="D131" s="42"/>
      <c r="E131" s="42"/>
      <c r="F131" s="42"/>
      <c r="G131" s="42"/>
      <c r="H131" s="42"/>
      <c r="I131" s="42"/>
      <c r="J131" s="42"/>
      <c r="K131" s="42"/>
      <c r="L131" s="42"/>
      <c r="M131" s="43" t="s">
        <v>81</v>
      </c>
      <c r="N131" s="44">
        <f>IF(COUNT(C129:L131)&gt;0,ROUND(((SUM(C129:L131)/COUNT(C129:L131))-0.004),2),0)</f>
        <v>0</v>
      </c>
      <c r="O131" s="39" t="s">
        <v>79</v>
      </c>
      <c r="P131" s="45">
        <v>2</v>
      </c>
      <c r="Q131" s="39" t="s">
        <v>80</v>
      </c>
      <c r="IU131" s="41"/>
      <c r="IV131" s="41"/>
    </row>
    <row r="132" spans="1:256" s="39" customFormat="1" ht="12.75">
      <c r="A132" s="43" t="s">
        <v>82</v>
      </c>
      <c r="B132" s="44" t="str">
        <f>IF(IF(P128=0,IF(COUNT(C128:L131)&gt;0,ROUND(((SUM(C128:L131)/COUNT(C128:L131))-0.004),2),0),IF(N128=0,N131,IF(N131=0,N128,TRUNC((P128*N128+P131*N131)/(P128+P131),2))))=0,"-----",IF(P128=0,IF(COUNT(C128:L131)&gt;0,ROUND(((SUM(C128:L131)/COUNT(C128:L131))-0.004),2),0),IF(N128=0,N131,IF(N131=0,N128,TRUNC((P128*N128+P131*N131)/(P128+P131),2)))))</f>
        <v>-----</v>
      </c>
      <c r="C132" s="91" t="s">
        <v>83</v>
      </c>
      <c r="D132" s="91"/>
      <c r="E132" s="91"/>
      <c r="F132" s="91"/>
      <c r="G132" s="48" t="str">
        <f>IF(B132="-----","---",ROUND(B132-0.000001,0))</f>
        <v>---</v>
      </c>
      <c r="H132" s="52"/>
      <c r="I132" s="52"/>
      <c r="J132" s="52"/>
      <c r="K132" s="52"/>
      <c r="L132" s="52"/>
      <c r="M132" s="43" t="s">
        <v>84</v>
      </c>
      <c r="N132" s="44" t="s">
        <v>67</v>
      </c>
      <c r="T132" s="39">
        <f>COUNTIF(C128:L131,T$1)</f>
        <v>0</v>
      </c>
      <c r="U132" s="39">
        <f>COUNTIF(C128:L131,U$1)</f>
        <v>0</v>
      </c>
      <c r="V132" s="39">
        <f>COUNTIF(C128:L131,V$1)</f>
        <v>0</v>
      </c>
      <c r="W132" s="39">
        <f>COUNTIF(C128:L131,W$1)</f>
        <v>0</v>
      </c>
      <c r="X132" s="39">
        <f>COUNTIF(C128:L131,X$1)</f>
        <v>0</v>
      </c>
      <c r="Y132" s="39">
        <f>COUNTIF(C128:L131,Y$1)</f>
        <v>0</v>
      </c>
      <c r="IU132" s="41"/>
      <c r="IV132" s="41"/>
    </row>
    <row r="133" spans="255:256" s="39" customFormat="1" ht="12.75">
      <c r="IU133" s="41"/>
      <c r="IV133" s="41"/>
    </row>
    <row r="134" spans="1:256" s="39" customFormat="1" ht="12.75">
      <c r="A134" s="49" t="s">
        <v>104</v>
      </c>
      <c r="C134" s="40"/>
      <c r="D134" s="40"/>
      <c r="E134" s="40"/>
      <c r="F134" s="40"/>
      <c r="G134" s="40"/>
      <c r="H134" s="40"/>
      <c r="I134" s="40"/>
      <c r="J134" s="40"/>
      <c r="K134" s="40"/>
      <c r="L134" s="40"/>
      <c r="IU134" s="41"/>
      <c r="IV134" s="41"/>
    </row>
    <row r="135" spans="1:256" s="39" customFormat="1" ht="12.75">
      <c r="A135" s="90" t="str">
        <f>Optionen!B46&amp;":"</f>
        <v>Arbeiten:</v>
      </c>
      <c r="B135" s="90"/>
      <c r="C135" s="42"/>
      <c r="D135" s="42"/>
      <c r="E135" s="42"/>
      <c r="F135" s="42"/>
      <c r="G135" s="42"/>
      <c r="H135" s="42"/>
      <c r="I135" s="42"/>
      <c r="J135" s="42"/>
      <c r="K135" s="42"/>
      <c r="L135" s="42"/>
      <c r="M135" s="43" t="s">
        <v>78</v>
      </c>
      <c r="N135" s="44">
        <f>IF(COUNT(C135:L135)&gt;0,ROUND(((SUM(C135:L135)/COUNT(C135:L135))-0.004),2),0)</f>
        <v>0</v>
      </c>
      <c r="O135" s="39" t="s">
        <v>79</v>
      </c>
      <c r="P135" s="45">
        <v>1</v>
      </c>
      <c r="Q135" s="39" t="s">
        <v>80</v>
      </c>
      <c r="IU135" s="41"/>
      <c r="IV135" s="41"/>
    </row>
    <row r="136" spans="1:256" s="39" customFormat="1" ht="12.75">
      <c r="A136" s="90" t="str">
        <f>Optionen!B47&amp;":"</f>
        <v>HÜ:</v>
      </c>
      <c r="B136" s="90"/>
      <c r="C136" s="42"/>
      <c r="D136" s="42"/>
      <c r="E136" s="42"/>
      <c r="F136" s="42"/>
      <c r="G136" s="42"/>
      <c r="H136" s="42"/>
      <c r="I136" s="42"/>
      <c r="J136" s="42"/>
      <c r="K136" s="42"/>
      <c r="L136" s="42"/>
      <c r="M136" s="46"/>
      <c r="N136" s="47"/>
      <c r="IU136" s="41"/>
      <c r="IV136" s="41"/>
    </row>
    <row r="137" spans="1:256" s="39" customFormat="1" ht="12.75">
      <c r="A137" s="90" t="str">
        <f>Optionen!B48&amp;":"</f>
        <v>Ausfragen / Referate:</v>
      </c>
      <c r="B137" s="90"/>
      <c r="C137" s="42"/>
      <c r="D137" s="42"/>
      <c r="E137" s="42"/>
      <c r="F137" s="42"/>
      <c r="G137" s="42"/>
      <c r="H137" s="42"/>
      <c r="I137" s="42"/>
      <c r="J137" s="42"/>
      <c r="K137" s="42"/>
      <c r="L137" s="42"/>
      <c r="M137" s="46"/>
      <c r="N137" s="47"/>
      <c r="IU137" s="41"/>
      <c r="IV137" s="41"/>
    </row>
    <row r="138" spans="1:256" s="39" customFormat="1" ht="12.75">
      <c r="A138" s="90" t="str">
        <f>Optionen!B49&amp;":"</f>
        <v>Mitarbeitsnoten:</v>
      </c>
      <c r="B138" s="90"/>
      <c r="C138" s="42"/>
      <c r="D138" s="42"/>
      <c r="E138" s="42"/>
      <c r="F138" s="42"/>
      <c r="G138" s="42"/>
      <c r="H138" s="42"/>
      <c r="I138" s="42"/>
      <c r="J138" s="42"/>
      <c r="K138" s="42"/>
      <c r="L138" s="42"/>
      <c r="M138" s="43" t="s">
        <v>81</v>
      </c>
      <c r="N138" s="44">
        <f>IF(COUNT(C136:L138)&gt;0,ROUND(((SUM(C136:L138)/COUNT(C136:L138))-0.004),2),0)</f>
        <v>0</v>
      </c>
      <c r="O138" s="39" t="s">
        <v>79</v>
      </c>
      <c r="P138" s="45">
        <v>2</v>
      </c>
      <c r="Q138" s="39" t="s">
        <v>80</v>
      </c>
      <c r="IU138" s="41"/>
      <c r="IV138" s="41"/>
    </row>
    <row r="139" spans="1:256" s="39" customFormat="1" ht="12.75">
      <c r="A139" s="43" t="s">
        <v>82</v>
      </c>
      <c r="B139" s="44" t="str">
        <f>IF(IF(P135=0,IF(COUNT(C135:L138)&gt;0,ROUND(((SUM(C135:L138)/COUNT(C135:L138))-0.004),2),0),IF(N135=0,N138,IF(N138=0,N135,TRUNC((P135*N135+P138*N138)/(P135+P138),2))))=0,"-----",IF(P135=0,IF(COUNT(C135:L138)&gt;0,ROUND(((SUM(C135:L138)/COUNT(C135:L138))-0.004),2),0),IF(N135=0,N138,IF(N138=0,N135,TRUNC((P135*N135+P138*N138)/(P135+P138),2)))))</f>
        <v>-----</v>
      </c>
      <c r="C139" s="91" t="s">
        <v>83</v>
      </c>
      <c r="D139" s="91"/>
      <c r="E139" s="91"/>
      <c r="F139" s="91"/>
      <c r="G139" s="48" t="str">
        <f>IF(B139="-----","---",ROUND(B139-0.000001,0))</f>
        <v>---</v>
      </c>
      <c r="H139" s="52"/>
      <c r="I139" s="52"/>
      <c r="J139" s="52"/>
      <c r="K139" s="52"/>
      <c r="L139" s="52"/>
      <c r="M139" s="43" t="s">
        <v>84</v>
      </c>
      <c r="N139" s="44" t="s">
        <v>67</v>
      </c>
      <c r="T139" s="39">
        <f>COUNTIF(C135:L138,T$1)</f>
        <v>0</v>
      </c>
      <c r="U139" s="39">
        <f>COUNTIF(C135:L138,U$1)</f>
        <v>0</v>
      </c>
      <c r="V139" s="39">
        <f>COUNTIF(C135:L138,V$1)</f>
        <v>0</v>
      </c>
      <c r="W139" s="39">
        <f>COUNTIF(C135:L138,W$1)</f>
        <v>0</v>
      </c>
      <c r="X139" s="39">
        <f>COUNTIF(C135:L138,X$1)</f>
        <v>0</v>
      </c>
      <c r="Y139" s="39">
        <f>COUNTIF(C135:L138,Y$1)</f>
        <v>0</v>
      </c>
      <c r="IU139" s="41"/>
      <c r="IV139" s="41"/>
    </row>
    <row r="140" spans="255:256" s="39" customFormat="1" ht="12.75">
      <c r="IU140" s="41"/>
      <c r="IV140" s="41"/>
    </row>
    <row r="141" spans="255:256" s="39" customFormat="1" ht="12.75">
      <c r="IU141" s="41"/>
      <c r="IV141" s="41"/>
    </row>
    <row r="142" spans="255:256" s="39" customFormat="1" ht="12.75">
      <c r="IU142" s="41"/>
      <c r="IV142" s="41"/>
    </row>
    <row r="143" spans="255:256" s="39" customFormat="1" ht="12.75">
      <c r="IU143" s="41"/>
      <c r="IV143" s="41"/>
    </row>
    <row r="144" spans="255:256" s="39" customFormat="1" ht="12.75">
      <c r="IU144" s="41"/>
      <c r="IV144" s="41"/>
    </row>
    <row r="145" spans="255:256" s="39" customFormat="1" ht="12.75">
      <c r="IU145" s="41"/>
      <c r="IV145" s="41"/>
    </row>
    <row r="146" spans="255:256" s="39" customFormat="1" ht="12.75">
      <c r="IU146" s="41"/>
      <c r="IV146" s="41"/>
    </row>
    <row r="147" spans="255:256" s="39" customFormat="1" ht="12.75">
      <c r="IU147" s="41"/>
      <c r="IV147" s="41"/>
    </row>
    <row r="148" spans="255:256" s="39" customFormat="1" ht="12.75">
      <c r="IU148" s="41"/>
      <c r="IV148" s="41"/>
    </row>
    <row r="149" spans="255:256" s="39" customFormat="1" ht="12.75">
      <c r="IU149" s="41"/>
      <c r="IV149" s="41"/>
    </row>
    <row r="150" spans="255:256" s="39" customFormat="1" ht="12.75">
      <c r="IU150" s="41"/>
      <c r="IV150" s="41"/>
    </row>
    <row r="151" spans="255:256" s="39" customFormat="1" ht="12.75">
      <c r="IU151" s="41"/>
      <c r="IV151" s="41"/>
    </row>
    <row r="152" spans="255:256" s="39" customFormat="1" ht="12.75">
      <c r="IU152" s="41"/>
      <c r="IV152" s="41"/>
    </row>
    <row r="153" spans="255:256" s="39" customFormat="1" ht="12.75">
      <c r="IU153" s="41"/>
      <c r="IV153" s="41"/>
    </row>
    <row r="154" spans="255:256" s="39" customFormat="1" ht="12.75">
      <c r="IU154" s="41"/>
      <c r="IV154" s="41"/>
    </row>
    <row r="155" spans="255:256" s="39" customFormat="1" ht="12.75">
      <c r="IU155" s="41"/>
      <c r="IV155" s="41"/>
    </row>
    <row r="156" spans="255:256" s="39" customFormat="1" ht="12.75">
      <c r="IU156" s="41"/>
      <c r="IV156" s="41"/>
    </row>
    <row r="157" spans="255:256" s="39" customFormat="1" ht="12.75">
      <c r="IU157" s="41"/>
      <c r="IV157" s="41"/>
    </row>
    <row r="158" spans="255:256" s="39" customFormat="1" ht="12.75">
      <c r="IU158" s="41"/>
      <c r="IV158" s="41"/>
    </row>
    <row r="159" spans="255:256" s="39" customFormat="1" ht="12.75">
      <c r="IU159" s="41"/>
      <c r="IV159" s="41"/>
    </row>
    <row r="160" spans="255:256" s="39" customFormat="1" ht="12.75">
      <c r="IU160" s="41"/>
      <c r="IV160" s="41"/>
    </row>
    <row r="161" spans="255:256" s="39" customFormat="1" ht="12.75">
      <c r="IU161" s="41"/>
      <c r="IV161" s="41"/>
    </row>
    <row r="162" spans="255:256" s="39" customFormat="1" ht="12.75">
      <c r="IU162" s="41"/>
      <c r="IV162" s="41"/>
    </row>
    <row r="163" spans="255:256" s="39" customFormat="1" ht="12.75">
      <c r="IU163" s="41"/>
      <c r="IV163" s="41"/>
    </row>
    <row r="164" spans="255:256" s="39" customFormat="1" ht="12.75">
      <c r="IU164" s="41"/>
      <c r="IV164" s="41"/>
    </row>
    <row r="165" spans="255:256" s="39" customFormat="1" ht="12.75">
      <c r="IU165" s="41"/>
      <c r="IV165" s="41"/>
    </row>
    <row r="166" spans="255:256" s="39" customFormat="1" ht="12.75">
      <c r="IU166" s="41"/>
      <c r="IV166" s="41"/>
    </row>
    <row r="167" spans="255:256" s="39" customFormat="1" ht="12.75">
      <c r="IU167" s="41"/>
      <c r="IV167" s="41"/>
    </row>
    <row r="168" spans="255:256" s="39" customFormat="1" ht="12.75">
      <c r="IU168" s="41"/>
      <c r="IV168" s="41"/>
    </row>
    <row r="169" spans="255:256" s="39" customFormat="1" ht="12.75">
      <c r="IU169" s="41"/>
      <c r="IV169" s="41"/>
    </row>
    <row r="170" spans="255:256" s="39" customFormat="1" ht="12.75">
      <c r="IU170" s="41"/>
      <c r="IV170" s="41"/>
    </row>
    <row r="171" spans="255:256" s="39" customFormat="1" ht="12.75">
      <c r="IU171" s="41"/>
      <c r="IV171" s="41"/>
    </row>
    <row r="172" spans="255:256" s="39" customFormat="1" ht="12.75">
      <c r="IU172" s="41"/>
      <c r="IV172" s="41"/>
    </row>
    <row r="173" spans="255:256" s="39" customFormat="1" ht="12.75">
      <c r="IU173" s="41"/>
      <c r="IV173" s="41"/>
    </row>
    <row r="174" spans="255:256" s="39" customFormat="1" ht="12.75">
      <c r="IU174" s="41"/>
      <c r="IV174" s="41"/>
    </row>
    <row r="175" spans="255:256" s="39" customFormat="1" ht="12.75">
      <c r="IU175" s="41"/>
      <c r="IV175" s="41"/>
    </row>
    <row r="176" spans="255:256" s="39" customFormat="1" ht="12.75">
      <c r="IU176" s="41"/>
      <c r="IV176" s="41"/>
    </row>
    <row r="177" spans="255:256" s="39" customFormat="1" ht="12.75">
      <c r="IU177" s="41"/>
      <c r="IV177" s="41"/>
    </row>
    <row r="178" spans="255:256" s="39" customFormat="1" ht="12.75">
      <c r="IU178" s="41"/>
      <c r="IV178" s="41"/>
    </row>
    <row r="179" spans="255:256" s="39" customFormat="1" ht="12.75">
      <c r="IU179" s="41"/>
      <c r="IV179" s="41"/>
    </row>
    <row r="180" spans="255:256" s="39" customFormat="1" ht="12.75">
      <c r="IU180" s="41"/>
      <c r="IV180" s="41"/>
    </row>
    <row r="181" spans="255:256" s="39" customFormat="1" ht="12.75">
      <c r="IU181" s="41"/>
      <c r="IV181" s="41"/>
    </row>
    <row r="182" spans="255:256" s="39" customFormat="1" ht="12.75">
      <c r="IU182" s="41"/>
      <c r="IV182" s="41"/>
    </row>
    <row r="183" spans="255:256" s="39" customFormat="1" ht="12.75">
      <c r="IU183" s="41"/>
      <c r="IV183" s="41"/>
    </row>
    <row r="184" spans="255:256" s="39" customFormat="1" ht="12.75">
      <c r="IU184" s="41"/>
      <c r="IV184" s="41"/>
    </row>
    <row r="185" spans="255:256" s="39" customFormat="1" ht="12.75">
      <c r="IU185" s="41"/>
      <c r="IV185" s="41"/>
    </row>
    <row r="186" spans="255:256" s="39" customFormat="1" ht="12.75">
      <c r="IU186" s="41"/>
      <c r="IV186" s="41"/>
    </row>
    <row r="187" spans="255:256" s="39" customFormat="1" ht="12.75">
      <c r="IU187" s="41"/>
      <c r="IV187" s="41"/>
    </row>
    <row r="188" spans="255:256" s="39" customFormat="1" ht="12.75">
      <c r="IU188" s="41"/>
      <c r="IV188" s="41"/>
    </row>
    <row r="189" spans="255:256" s="39" customFormat="1" ht="12.75">
      <c r="IU189" s="41"/>
      <c r="IV189" s="41"/>
    </row>
    <row r="190" spans="255:256" s="39" customFormat="1" ht="12.75">
      <c r="IU190" s="41"/>
      <c r="IV190" s="41"/>
    </row>
    <row r="191" spans="255:256" s="39" customFormat="1" ht="12.75">
      <c r="IU191" s="41"/>
      <c r="IV191" s="41"/>
    </row>
    <row r="192" spans="255:256" s="39" customFormat="1" ht="12.75">
      <c r="IU192" s="41"/>
      <c r="IV192" s="41"/>
    </row>
    <row r="193" spans="255:256" s="39" customFormat="1" ht="12.75">
      <c r="IU193" s="41"/>
      <c r="IV193" s="41"/>
    </row>
    <row r="194" spans="255:256" s="39" customFormat="1" ht="12.75">
      <c r="IU194" s="41"/>
      <c r="IV194" s="41"/>
    </row>
    <row r="195" spans="255:256" s="39" customFormat="1" ht="12.75">
      <c r="IU195" s="41"/>
      <c r="IV195" s="41"/>
    </row>
    <row r="196" spans="255:256" s="39" customFormat="1" ht="12.75">
      <c r="IU196" s="41"/>
      <c r="IV196" s="41"/>
    </row>
    <row r="197" spans="255:256" s="39" customFormat="1" ht="12.75">
      <c r="IU197" s="41"/>
      <c r="IV197" s="41"/>
    </row>
    <row r="198" spans="255:256" s="39" customFormat="1" ht="12.75">
      <c r="IU198" s="41"/>
      <c r="IV198" s="41"/>
    </row>
    <row r="199" spans="255:256" s="39" customFormat="1" ht="12.75">
      <c r="IU199" s="41"/>
      <c r="IV199" s="41"/>
    </row>
    <row r="200" spans="255:256" s="39" customFormat="1" ht="12.75">
      <c r="IU200" s="41"/>
      <c r="IV200" s="41"/>
    </row>
    <row r="201" spans="255:256" s="39" customFormat="1" ht="12.75">
      <c r="IU201" s="41"/>
      <c r="IV201" s="41"/>
    </row>
    <row r="202" spans="255:256" s="39" customFormat="1" ht="12.75">
      <c r="IU202" s="41"/>
      <c r="IV202" s="41"/>
    </row>
    <row r="203" spans="255:256" s="39" customFormat="1" ht="12.75">
      <c r="IU203" s="41"/>
      <c r="IV203" s="41"/>
    </row>
    <row r="204" spans="255:256" s="39" customFormat="1" ht="12.75">
      <c r="IU204" s="41"/>
      <c r="IV204" s="41"/>
    </row>
    <row r="205" spans="255:256" s="39" customFormat="1" ht="12.75">
      <c r="IU205" s="41"/>
      <c r="IV205" s="41"/>
    </row>
    <row r="206" spans="255:256" s="39" customFormat="1" ht="12.75">
      <c r="IU206" s="41"/>
      <c r="IV206" s="41"/>
    </row>
    <row r="207" spans="255:256" s="39" customFormat="1" ht="12.75">
      <c r="IU207" s="41"/>
      <c r="IV207" s="41"/>
    </row>
    <row r="208" spans="255:256" s="39" customFormat="1" ht="12.75">
      <c r="IU208" s="41"/>
      <c r="IV208" s="41"/>
    </row>
    <row r="209" spans="255:256" s="39" customFormat="1" ht="12.75">
      <c r="IU209" s="41"/>
      <c r="IV209" s="41"/>
    </row>
    <row r="210" spans="255:256" s="39" customFormat="1" ht="12.75">
      <c r="IU210" s="41"/>
      <c r="IV210" s="41"/>
    </row>
    <row r="211" spans="255:256" s="39" customFormat="1" ht="12.75">
      <c r="IU211" s="41"/>
      <c r="IV211" s="41"/>
    </row>
    <row r="212" spans="255:256" s="39" customFormat="1" ht="12.75">
      <c r="IU212" s="41"/>
      <c r="IV212" s="41"/>
    </row>
    <row r="213" spans="255:256" s="39" customFormat="1" ht="12.75">
      <c r="IU213" s="41"/>
      <c r="IV213" s="41"/>
    </row>
    <row r="214" spans="255:256" s="39" customFormat="1" ht="12.75">
      <c r="IU214" s="41"/>
      <c r="IV214" s="41"/>
    </row>
    <row r="215" spans="255:256" s="39" customFormat="1" ht="12.75">
      <c r="IU215" s="41"/>
      <c r="IV215" s="41"/>
    </row>
    <row r="216" spans="255:256" s="39" customFormat="1" ht="12.75">
      <c r="IU216" s="41"/>
      <c r="IV216" s="41"/>
    </row>
    <row r="217" spans="255:256" s="39" customFormat="1" ht="12.75">
      <c r="IU217" s="41"/>
      <c r="IV217" s="41"/>
    </row>
    <row r="218" spans="255:256" s="39" customFormat="1" ht="12.75">
      <c r="IU218" s="41"/>
      <c r="IV218" s="41"/>
    </row>
    <row r="219" spans="255:256" s="39" customFormat="1" ht="12.75">
      <c r="IU219" s="41"/>
      <c r="IV219" s="41"/>
    </row>
    <row r="220" spans="255:256" s="39" customFormat="1" ht="12.75">
      <c r="IU220" s="41"/>
      <c r="IV220" s="41"/>
    </row>
    <row r="221" spans="255:256" s="39" customFormat="1" ht="12.75">
      <c r="IU221" s="41"/>
      <c r="IV221" s="41"/>
    </row>
    <row r="222" spans="255:256" s="39" customFormat="1" ht="12.75">
      <c r="IU222" s="41"/>
      <c r="IV222" s="41"/>
    </row>
    <row r="223" spans="255:256" s="39" customFormat="1" ht="12.75">
      <c r="IU223" s="41"/>
      <c r="IV223" s="41"/>
    </row>
    <row r="224" spans="255:256" s="39" customFormat="1" ht="12.75">
      <c r="IU224" s="41"/>
      <c r="IV224" s="41"/>
    </row>
    <row r="225" spans="255:256" s="39" customFormat="1" ht="12.75">
      <c r="IU225" s="41"/>
      <c r="IV225" s="41"/>
    </row>
    <row r="226" spans="255:256" s="39" customFormat="1" ht="12.75">
      <c r="IU226" s="41"/>
      <c r="IV226" s="41"/>
    </row>
    <row r="227" spans="255:256" s="39" customFormat="1" ht="12.75">
      <c r="IU227" s="41"/>
      <c r="IV227" s="41"/>
    </row>
    <row r="228" spans="255:256" s="39" customFormat="1" ht="12.75">
      <c r="IU228" s="41"/>
      <c r="IV228" s="41"/>
    </row>
    <row r="229" spans="255:256" s="39" customFormat="1" ht="12.75">
      <c r="IU229" s="41"/>
      <c r="IV229" s="41"/>
    </row>
    <row r="230" spans="255:256" s="39" customFormat="1" ht="12.75">
      <c r="IU230" s="41"/>
      <c r="IV230" s="41"/>
    </row>
    <row r="231" spans="255:256" s="39" customFormat="1" ht="12.75">
      <c r="IU231" s="41"/>
      <c r="IV231" s="41"/>
    </row>
    <row r="232" spans="255:256" s="39" customFormat="1" ht="12.75">
      <c r="IU232" s="41"/>
      <c r="IV232" s="41"/>
    </row>
    <row r="233" spans="255:256" s="39" customFormat="1" ht="12.75">
      <c r="IU233" s="41"/>
      <c r="IV233" s="41"/>
    </row>
    <row r="234" spans="255:256" s="39" customFormat="1" ht="12.75">
      <c r="IU234" s="41"/>
      <c r="IV234" s="41"/>
    </row>
    <row r="235" spans="255:256" s="39" customFormat="1" ht="12.75">
      <c r="IU235" s="41"/>
      <c r="IV235" s="41"/>
    </row>
    <row r="236" spans="255:256" s="39" customFormat="1" ht="12.75">
      <c r="IU236" s="41"/>
      <c r="IV236" s="41"/>
    </row>
    <row r="237" spans="255:256" s="39" customFormat="1" ht="12.75">
      <c r="IU237" s="41"/>
      <c r="IV237" s="41"/>
    </row>
    <row r="238" spans="255:256" s="39" customFormat="1" ht="12.75">
      <c r="IU238" s="41"/>
      <c r="IV238" s="41"/>
    </row>
    <row r="239" spans="255:256" s="39" customFormat="1" ht="12.75">
      <c r="IU239" s="41"/>
      <c r="IV239" s="41"/>
    </row>
    <row r="240" spans="255:256" s="39" customFormat="1" ht="12.75">
      <c r="IU240" s="41"/>
      <c r="IV240" s="41"/>
    </row>
    <row r="241" spans="255:256" s="39" customFormat="1" ht="12.75">
      <c r="IU241" s="41"/>
      <c r="IV241" s="41"/>
    </row>
    <row r="242" spans="255:256" s="39" customFormat="1" ht="12.75">
      <c r="IU242" s="41"/>
      <c r="IV242" s="41"/>
    </row>
    <row r="243" spans="255:256" s="39" customFormat="1" ht="12.75">
      <c r="IU243" s="41"/>
      <c r="IV243" s="41"/>
    </row>
    <row r="244" spans="255:256" s="39" customFormat="1" ht="12.75">
      <c r="IU244" s="41"/>
      <c r="IV244" s="41"/>
    </row>
    <row r="245" spans="255:256" s="39" customFormat="1" ht="12.75">
      <c r="IU245" s="41"/>
      <c r="IV245" s="41"/>
    </row>
    <row r="246" spans="255:256" s="39" customFormat="1" ht="12.75">
      <c r="IU246" s="41"/>
      <c r="IV246" s="41"/>
    </row>
    <row r="247" spans="255:256" s="39" customFormat="1" ht="12.75">
      <c r="IU247" s="41"/>
      <c r="IV247" s="41"/>
    </row>
    <row r="248" spans="255:256" s="39" customFormat="1" ht="12.75">
      <c r="IU248" s="41"/>
      <c r="IV248" s="41"/>
    </row>
    <row r="249" spans="255:256" s="39" customFormat="1" ht="12.75">
      <c r="IU249" s="41"/>
      <c r="IV249" s="41"/>
    </row>
    <row r="250" spans="255:256" s="39" customFormat="1" ht="12.75">
      <c r="IU250" s="41"/>
      <c r="IV250" s="41"/>
    </row>
    <row r="251" spans="255:256" s="39" customFormat="1" ht="12.75">
      <c r="IU251" s="41"/>
      <c r="IV251" s="41"/>
    </row>
    <row r="252" spans="255:256" s="39" customFormat="1" ht="12.75">
      <c r="IU252" s="41"/>
      <c r="IV252" s="41"/>
    </row>
    <row r="253" spans="255:256" s="39" customFormat="1" ht="12.75">
      <c r="IU253" s="41"/>
      <c r="IV253" s="41"/>
    </row>
    <row r="254" spans="255:256" s="39" customFormat="1" ht="12.75">
      <c r="IU254" s="41"/>
      <c r="IV254" s="41"/>
    </row>
    <row r="255" spans="255:256" s="39" customFormat="1" ht="12.75">
      <c r="IU255" s="41"/>
      <c r="IV255" s="41"/>
    </row>
    <row r="256" spans="255:256" s="39" customFormat="1" ht="12.75">
      <c r="IU256" s="41"/>
      <c r="IV256" s="41"/>
    </row>
    <row r="257" spans="255:256" s="39" customFormat="1" ht="12.75">
      <c r="IU257" s="41"/>
      <c r="IV257" s="41"/>
    </row>
    <row r="258" spans="255:256" s="39" customFormat="1" ht="12.75">
      <c r="IU258" s="41"/>
      <c r="IV258" s="41"/>
    </row>
    <row r="259" spans="255:256" s="39" customFormat="1" ht="12.75">
      <c r="IU259" s="41"/>
      <c r="IV259" s="41"/>
    </row>
    <row r="260" spans="255:256" s="39" customFormat="1" ht="12.75">
      <c r="IU260" s="41"/>
      <c r="IV260" s="41"/>
    </row>
    <row r="261" spans="255:256" s="39" customFormat="1" ht="12.75">
      <c r="IU261" s="41"/>
      <c r="IV261" s="41"/>
    </row>
    <row r="262" spans="255:256" s="39" customFormat="1" ht="12.75">
      <c r="IU262" s="41"/>
      <c r="IV262" s="41"/>
    </row>
    <row r="263" spans="255:256" s="39" customFormat="1" ht="12.75">
      <c r="IU263" s="41"/>
      <c r="IV263" s="41"/>
    </row>
    <row r="264" spans="255:256" s="39" customFormat="1" ht="12.75">
      <c r="IU264" s="41"/>
      <c r="IV264" s="41"/>
    </row>
    <row r="265" spans="255:256" s="39" customFormat="1" ht="12.75">
      <c r="IU265" s="41"/>
      <c r="IV265" s="41"/>
    </row>
    <row r="266" spans="255:256" s="39" customFormat="1" ht="12.75">
      <c r="IU266" s="41"/>
      <c r="IV266" s="41"/>
    </row>
    <row r="267" spans="255:256" s="39" customFormat="1" ht="12.75">
      <c r="IU267" s="41"/>
      <c r="IV267" s="41"/>
    </row>
  </sheetData>
  <sheetProtection selectLockedCells="1" selectUnlockedCells="1"/>
  <mergeCells count="100">
    <mergeCell ref="A136:B136"/>
    <mergeCell ref="A137:B137"/>
    <mergeCell ref="A138:B138"/>
    <mergeCell ref="C139:F139"/>
    <mergeCell ref="A128:B128"/>
    <mergeCell ref="A129:B129"/>
    <mergeCell ref="A130:B130"/>
    <mergeCell ref="A131:B131"/>
    <mergeCell ref="C132:F132"/>
    <mergeCell ref="A135:B135"/>
    <mergeCell ref="C118:F118"/>
    <mergeCell ref="A121:B121"/>
    <mergeCell ref="A122:B122"/>
    <mergeCell ref="A123:B123"/>
    <mergeCell ref="A124:B124"/>
    <mergeCell ref="C125:F125"/>
    <mergeCell ref="A110:B110"/>
    <mergeCell ref="C111:F111"/>
    <mergeCell ref="A114:B114"/>
    <mergeCell ref="A115:B115"/>
    <mergeCell ref="A116:B116"/>
    <mergeCell ref="A117:B117"/>
    <mergeCell ref="A102:B102"/>
    <mergeCell ref="A103:B103"/>
    <mergeCell ref="C104:F104"/>
    <mergeCell ref="A107:B107"/>
    <mergeCell ref="A108:B108"/>
    <mergeCell ref="A109:B109"/>
    <mergeCell ref="A94:B94"/>
    <mergeCell ref="A95:B95"/>
    <mergeCell ref="A96:B96"/>
    <mergeCell ref="C97:F97"/>
    <mergeCell ref="A100:B100"/>
    <mergeCell ref="A101:B101"/>
    <mergeCell ref="A86:B86"/>
    <mergeCell ref="A87:B87"/>
    <mergeCell ref="A88:B88"/>
    <mergeCell ref="A89:B89"/>
    <mergeCell ref="C90:F90"/>
    <mergeCell ref="A93:B93"/>
    <mergeCell ref="C76:F76"/>
    <mergeCell ref="A79:B79"/>
    <mergeCell ref="A80:B80"/>
    <mergeCell ref="A81:B81"/>
    <mergeCell ref="A82:B82"/>
    <mergeCell ref="C83:F83"/>
    <mergeCell ref="A68:B68"/>
    <mergeCell ref="C69:F69"/>
    <mergeCell ref="A72:B72"/>
    <mergeCell ref="A73:B73"/>
    <mergeCell ref="A74:B74"/>
    <mergeCell ref="A75:B75"/>
    <mergeCell ref="A60:B60"/>
    <mergeCell ref="A61:B61"/>
    <mergeCell ref="C62:F62"/>
    <mergeCell ref="A65:B65"/>
    <mergeCell ref="A66:B66"/>
    <mergeCell ref="A67:B67"/>
    <mergeCell ref="A52:B52"/>
    <mergeCell ref="A53:B53"/>
    <mergeCell ref="A54:B54"/>
    <mergeCell ref="C55:F55"/>
    <mergeCell ref="A58:B58"/>
    <mergeCell ref="A59:B59"/>
    <mergeCell ref="A44:B44"/>
    <mergeCell ref="A45:B45"/>
    <mergeCell ref="A46:B46"/>
    <mergeCell ref="A47:B47"/>
    <mergeCell ref="C48:F48"/>
    <mergeCell ref="A51:B51"/>
    <mergeCell ref="C34:F34"/>
    <mergeCell ref="A37:B37"/>
    <mergeCell ref="A38:B38"/>
    <mergeCell ref="A39:B39"/>
    <mergeCell ref="A40:B40"/>
    <mergeCell ref="C41:F41"/>
    <mergeCell ref="A26:B26"/>
    <mergeCell ref="C27:F27"/>
    <mergeCell ref="A30:B30"/>
    <mergeCell ref="A31:B31"/>
    <mergeCell ref="A32:B32"/>
    <mergeCell ref="A33:B33"/>
    <mergeCell ref="A18:B18"/>
    <mergeCell ref="A19:B19"/>
    <mergeCell ref="C20:F20"/>
    <mergeCell ref="A23:B23"/>
    <mergeCell ref="A24:B24"/>
    <mergeCell ref="A25:B25"/>
    <mergeCell ref="A10:B10"/>
    <mergeCell ref="A11:B11"/>
    <mergeCell ref="A12:B12"/>
    <mergeCell ref="C13:F13"/>
    <mergeCell ref="A16:B16"/>
    <mergeCell ref="A17:B17"/>
    <mergeCell ref="A2:B2"/>
    <mergeCell ref="A3:B3"/>
    <mergeCell ref="A4:B4"/>
    <mergeCell ref="A5:B5"/>
    <mergeCell ref="C6:F6"/>
    <mergeCell ref="A9:B9"/>
  </mergeCells>
  <conditionalFormatting sqref="B6 B13:B14 B20 B27 B34 B41 B48 B55 B62 B69 B76 B83 B90 B97 B104 B111 B118 B125 B132 B139">
    <cfRule type="cellIs" priority="1" dxfId="1" operator="greaterThanOrEqual" stopIfTrue="1">
      <formula>4.33</formula>
    </cfRule>
  </conditionalFormatting>
  <conditionalFormatting sqref="G6 G13 G20 G27 G34 G41 G48 G55 G62 G69 G76 G83 G90 G97 G104 G111 G118 G125 G132 G139">
    <cfRule type="cellIs" priority="2" dxfId="1" operator="between" stopIfTrue="1">
      <formula>4.33</formula>
      <formula>7</formula>
    </cfRule>
  </conditionalFormatting>
  <dataValidations count="3">
    <dataValidation operator="equal" allowBlank="1" showInputMessage="1" promptTitle="Schulaufgaben" prompt="Gib hier ein, wie stark Schulaufgaben in diesem Fach gewertet werden sollen. Zählen in diesem Fach alle Noten gleich, lass die Zelle leer." sqref="P2 P9 P16 P23 P30 P37 P44 P51 P58 P65 P72 P79 P86 P93 P100 P107 P114 P121 P128 P135">
      <formula1>0</formula1>
    </dataValidation>
    <dataValidation operator="equal" allowBlank="1" showInputMessage="1" promptTitle="mündliche Noten" prompt="Gib hier ein, wie stark mündliche Noten in diesem Fach gewertet werden sollen. Zählen in diesem Fach alle Noten gleich, lass die Zelle leer." sqref="P5 P12 P19 P26 P33 P40 P47 P54 P61 P68 P75 P82 P89 P96 P103 P110 P117 P124 P131 P138">
      <formula1>0</formula1>
    </dataValidation>
    <dataValidation errorStyle="information" type="list" operator="equal" allowBlank="1" showInputMessage="1" showErrorMessage="1" promptTitle="Vorrückungsfach?" prompt="Gib hier &quot;ja&quot; ein, wenn das Fach ein Vorrückungsfach ist, und &quot;nein&quot; wenn es keins ist." errorTitle="Fehler!" error="&quot;ja&quot; oder &quot;nein&quot; eingeben!" sqref="N6 N13 N20 N27 N34 N41 N48 N55 N62 N69 N76 N83 N90 N97 N104 N111 N118 N125 N132 N139">
      <formula1>"ja,nein"</formula1>
    </dataValidation>
  </dataValidation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&amp;CSeite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R52"/>
  <sheetViews>
    <sheetView showGridLines="0" tabSelected="1" workbookViewId="0" topLeftCell="A1">
      <selection activeCell="A42" sqref="A42:G42"/>
    </sheetView>
  </sheetViews>
  <sheetFormatPr defaultColWidth="11.00390625" defaultRowHeight="12.75"/>
  <cols>
    <col min="1" max="1" width="11.00390625" style="0" customWidth="1"/>
    <col min="2" max="2" width="12.7109375" style="0" customWidth="1"/>
    <col min="3" max="3" width="15.140625" style="0" customWidth="1"/>
    <col min="4" max="4" width="4.140625" style="0" customWidth="1"/>
    <col min="5" max="5" width="11.00390625" style="0" customWidth="1"/>
    <col min="6" max="6" width="10.421875" style="0" customWidth="1"/>
    <col min="7" max="7" width="15.00390625" style="0" customWidth="1"/>
    <col min="8" max="19" width="0" style="0" hidden="1" customWidth="1"/>
  </cols>
  <sheetData>
    <row r="1" spans="1:18" s="60" customFormat="1" ht="21" customHeight="1">
      <c r="A1" s="92" t="str">
        <f>Optionen!B9&amp;Optionen!B10&amp;" "&amp;Optionen!B11</f>
        <v> </v>
      </c>
      <c r="B1" s="92"/>
      <c r="C1" s="92"/>
      <c r="D1" s="92"/>
      <c r="E1" s="92"/>
      <c r="F1" s="92"/>
      <c r="G1" s="92"/>
      <c r="I1" s="61"/>
      <c r="J1" s="61"/>
      <c r="K1" s="62"/>
      <c r="L1" s="62"/>
      <c r="M1" s="62"/>
      <c r="N1" s="62"/>
      <c r="O1" s="62"/>
      <c r="P1" s="63"/>
      <c r="Q1" s="60">
        <v>1</v>
      </c>
      <c r="R1" s="60" t="s">
        <v>105</v>
      </c>
    </row>
    <row r="2" spans="1:18" s="60" customFormat="1" ht="24" customHeight="1">
      <c r="A2" s="93" t="str">
        <f>IF(Optionen!F6="z","ZWISCHENZEUGNIS","JAHRESZEUGNIS")</f>
        <v>ZWISCHENZEUGNIS</v>
      </c>
      <c r="B2" s="93"/>
      <c r="C2" s="93"/>
      <c r="D2" s="93"/>
      <c r="E2" s="93"/>
      <c r="F2" s="93"/>
      <c r="G2" s="93"/>
      <c r="I2" s="61"/>
      <c r="J2" s="61"/>
      <c r="K2" s="64"/>
      <c r="L2" s="62">
        <f>IF(D17=Optionen!B53,1,0)</f>
        <v>0</v>
      </c>
      <c r="M2" s="62">
        <f>IF(D17=Optionen!B53-1,1/Optionen!B55,0)</f>
        <v>0</v>
      </c>
      <c r="N2" s="62">
        <f>IF(Noteneingabe!N6="nein",0,L2+M2)</f>
        <v>0</v>
      </c>
      <c r="O2" s="62"/>
      <c r="P2" s="63"/>
      <c r="Q2" s="60">
        <v>2</v>
      </c>
      <c r="R2" s="60" t="s">
        <v>106</v>
      </c>
    </row>
    <row r="3" spans="1:18" s="60" customFormat="1" ht="13.5" customHeight="1">
      <c r="A3" s="94"/>
      <c r="B3" s="94"/>
      <c r="C3" s="94"/>
      <c r="D3" s="94"/>
      <c r="E3" s="94"/>
      <c r="F3" s="94"/>
      <c r="G3" s="94"/>
      <c r="I3" s="61"/>
      <c r="J3" s="61"/>
      <c r="K3" s="64"/>
      <c r="L3" s="62"/>
      <c r="M3" s="62"/>
      <c r="N3" s="62"/>
      <c r="O3" s="62"/>
      <c r="P3" s="63"/>
      <c r="Q3" s="60">
        <v>3</v>
      </c>
      <c r="R3" s="60" t="s">
        <v>107</v>
      </c>
    </row>
    <row r="4" spans="1:18" s="60" customFormat="1" ht="15">
      <c r="A4" s="95" t="str">
        <f>Optionen!B3&amp;" "&amp;Optionen!B4&amp;"   "&amp;Optionen!C2&amp;" ,"</f>
        <v>    0 ,</v>
      </c>
      <c r="B4" s="95"/>
      <c r="C4" s="95"/>
      <c r="D4" s="95"/>
      <c r="E4" s="95"/>
      <c r="F4" s="95"/>
      <c r="G4" s="95"/>
      <c r="I4" s="61"/>
      <c r="J4" s="61"/>
      <c r="K4" s="64"/>
      <c r="L4" s="62">
        <f>IF(D19=Optionen!B53,1,0)</f>
        <v>0</v>
      </c>
      <c r="M4" s="62">
        <f>IF(D19=Optionen!B53-1,1/Optionen!B55,0)</f>
        <v>0</v>
      </c>
      <c r="N4" s="62">
        <f>IF(Noteneingabe!N13="nein",0,L4+M4)</f>
        <v>0</v>
      </c>
      <c r="O4" s="62"/>
      <c r="P4" s="63"/>
      <c r="Q4" s="60">
        <v>4</v>
      </c>
      <c r="R4" s="60" t="s">
        <v>108</v>
      </c>
    </row>
    <row r="5" spans="1:18" s="60" customFormat="1" ht="12">
      <c r="A5" s="96"/>
      <c r="B5" s="96"/>
      <c r="C5" s="96"/>
      <c r="D5" s="96"/>
      <c r="E5" s="96"/>
      <c r="F5" s="96"/>
      <c r="G5" s="96"/>
      <c r="I5" s="61"/>
      <c r="J5" s="61"/>
      <c r="K5" s="64"/>
      <c r="L5" s="62"/>
      <c r="M5" s="62"/>
      <c r="N5" s="62"/>
      <c r="O5" s="62"/>
      <c r="P5" s="63"/>
      <c r="Q5" s="60">
        <v>5</v>
      </c>
      <c r="R5" s="60" t="s">
        <v>109</v>
      </c>
    </row>
    <row r="6" spans="1:18" s="60" customFormat="1" ht="18.75" customHeight="1">
      <c r="A6" s="97" t="str">
        <f>"geboren am "&amp;DAY(Optionen!B18)&amp;". "&amp;VLOOKUP(MONTH(Optionen!B18),Q1:R12,2)&amp;" "&amp;YEAR(Optionen!B18)&amp;" in "&amp;Optionen!B6</f>
        <v>geboren am 0. Januar 1900 in </v>
      </c>
      <c r="B6" s="97"/>
      <c r="C6" s="97"/>
      <c r="D6" s="97"/>
      <c r="E6" s="97"/>
      <c r="F6" s="97"/>
      <c r="G6" s="97"/>
      <c r="I6" s="61"/>
      <c r="J6" s="61"/>
      <c r="K6" s="62"/>
      <c r="L6" s="62">
        <f>IF(D21=Optionen!B53,1,0)</f>
        <v>0</v>
      </c>
      <c r="M6" s="62">
        <f>IF(D21=Optionen!B53-1,1/Optionen!B55,0)</f>
        <v>0</v>
      </c>
      <c r="N6" s="62">
        <f>IF(Noteneingabe!N20="nein",0,L6+M6)</f>
        <v>0</v>
      </c>
      <c r="O6" s="62"/>
      <c r="P6" s="63"/>
      <c r="Q6" s="60">
        <v>6</v>
      </c>
      <c r="R6" s="60" t="s">
        <v>110</v>
      </c>
    </row>
    <row r="7" spans="9:18" s="60" customFormat="1" ht="12.75" customHeight="1">
      <c r="I7" s="61"/>
      <c r="J7" s="61"/>
      <c r="K7" s="62"/>
      <c r="L7" s="62"/>
      <c r="M7" s="62"/>
      <c r="N7" s="62"/>
      <c r="O7" s="62"/>
      <c r="P7" s="63"/>
      <c r="Q7" s="60">
        <v>7</v>
      </c>
      <c r="R7" s="60" t="s">
        <v>111</v>
      </c>
    </row>
    <row r="8" spans="1:18" s="60" customFormat="1" ht="12.75">
      <c r="A8" s="98" t="str">
        <f ca="1">"hat im Schuljahr "&amp;IF(TODAY()&lt;DATEVALUE("1.8.2008"),"2007/2008",IF(TODAY()&lt;DATEVALUE("1.8.2009"),"2008/2009","2009/2010"))&amp;" die Klasse "&amp;Optionen!B12</f>
        <v>hat im Schuljahr 2009/2010 die Klasse </v>
      </c>
      <c r="B8" s="98"/>
      <c r="C8" s="98"/>
      <c r="D8" s="98"/>
      <c r="E8" s="98"/>
      <c r="F8" s="98"/>
      <c r="G8" s="98"/>
      <c r="I8" s="61"/>
      <c r="J8" s="61"/>
      <c r="K8" s="62"/>
      <c r="L8" s="62">
        <f>IF(D23=Optionen!B53,1,0)</f>
        <v>0</v>
      </c>
      <c r="M8" s="62">
        <f>IF(D23=5,1/Optionen!B55,0)</f>
        <v>0</v>
      </c>
      <c r="N8" s="62">
        <f>IF(Noteneingabe!N27="nein",0,L8+M8)</f>
        <v>0</v>
      </c>
      <c r="O8" s="62"/>
      <c r="P8" s="63"/>
      <c r="Q8" s="60">
        <v>8</v>
      </c>
      <c r="R8" s="60" t="s">
        <v>112</v>
      </c>
    </row>
    <row r="9" spans="1:18" s="60" customFormat="1" ht="12.75" customHeight="1">
      <c r="A9" s="98" t="str">
        <f>IF(Optionen!B10="Gymnasium","des ","der ")&amp;Optionen!B9&amp;IF(Optionen!B10="Gymnasium",Optionen!B10&amp;"s",Optionen!B10)&amp;" "&amp;Optionen!B11&amp;" besucht."</f>
        <v>der   besucht.</v>
      </c>
      <c r="B9" s="98"/>
      <c r="C9" s="98"/>
      <c r="D9" s="98"/>
      <c r="E9" s="98"/>
      <c r="F9" s="98"/>
      <c r="G9" s="98"/>
      <c r="I9" s="61"/>
      <c r="J9" s="61"/>
      <c r="K9" s="62"/>
      <c r="L9" s="62"/>
      <c r="M9" s="62"/>
      <c r="N9" s="62"/>
      <c r="O9" s="62"/>
      <c r="P9" s="63"/>
      <c r="Q9" s="60">
        <v>9</v>
      </c>
      <c r="R9" s="60" t="s">
        <v>113</v>
      </c>
    </row>
    <row r="10" spans="1:18" s="60" customFormat="1" ht="15.75" customHeight="1">
      <c r="A10" s="99" t="s">
        <v>114</v>
      </c>
      <c r="B10" s="99"/>
      <c r="C10" s="99"/>
      <c r="D10" s="99"/>
      <c r="E10" s="99"/>
      <c r="F10" s="99"/>
      <c r="G10" s="99"/>
      <c r="I10" s="61"/>
      <c r="J10" s="61"/>
      <c r="K10" s="62"/>
      <c r="L10" s="62">
        <f>IF(D25=Optionen!B53,1,0)</f>
        <v>0</v>
      </c>
      <c r="M10" s="62">
        <f>IF(D25=Optionen!B53-1,1/Optionen!B55,0)</f>
        <v>0</v>
      </c>
      <c r="N10" s="62">
        <f>IF(Noteneingabe!N34="nein",0,L10+M10)</f>
        <v>0</v>
      </c>
      <c r="O10" s="62"/>
      <c r="P10" s="63"/>
      <c r="Q10" s="60">
        <v>10</v>
      </c>
      <c r="R10" s="60" t="s">
        <v>115</v>
      </c>
    </row>
    <row r="11" spans="1:18" s="60" customFormat="1" ht="18" customHeight="1">
      <c r="A11" s="100" t="e">
        <f>Optionen!B3&amp;IF(Optionen!B7="w"," ist eine "&amp;Optionen!B26&amp;"e, "&amp;Optionen!B27&amp;"e und "&amp;Optionen!B28&amp;"e Schülerin. "," ist ein "&amp;Optionen!B26&amp;"er, "&amp;Optionen!B27&amp;"er und "&amp;Optionen!B28&amp;"er Schüler. ")&amp;I12&amp;J13&amp;I17&amp;"  "&amp;REPT("-",1000)</f>
        <v>#DIV/0!</v>
      </c>
      <c r="B11" s="100"/>
      <c r="C11" s="100"/>
      <c r="D11" s="100"/>
      <c r="E11" s="100"/>
      <c r="F11" s="100"/>
      <c r="G11" s="100"/>
      <c r="I11" s="61"/>
      <c r="J11" s="61"/>
      <c r="K11" s="62"/>
      <c r="L11" s="62"/>
      <c r="M11" s="62"/>
      <c r="N11" s="62"/>
      <c r="O11" s="62"/>
      <c r="P11" s="63"/>
      <c r="Q11" s="60">
        <v>11</v>
      </c>
      <c r="R11" s="60" t="s">
        <v>116</v>
      </c>
    </row>
    <row r="12" spans="1:18" s="60" customFormat="1" ht="16.5" customHeight="1">
      <c r="A12" s="100"/>
      <c r="B12" s="100"/>
      <c r="C12" s="100"/>
      <c r="D12" s="100"/>
      <c r="E12" s="100"/>
      <c r="F12" s="100"/>
      <c r="G12" s="100"/>
      <c r="I12" s="62" t="e">
        <f>" "&amp;IF(Optionen!B7="w","Ihre","Seine")&amp;" Leistungen sind "&amp;IF(AND(Statistik!E9&gt;0,Statistik!E9&lt;=2),"hervorragend",IF(AND(Statistik!E9&gt;2,Statistik!E9&lt;=3),"gut",IF(AND(Statistik!E9&gt;3,Statistik!E9&lt;=4),"mittelmäßig",IF(AND(Statistik!E9&gt;4,Statistik!E9&lt;=5),"niedrig",IF(AND(Statistik!E9&gt;5,Statistik!E9&lt;=6),"sehr schlecht","")))))&amp;"."</f>
        <v>#DIV/0!</v>
      </c>
      <c r="J12" s="65"/>
      <c r="K12" s="62"/>
      <c r="L12" s="62">
        <f>IF(D27=Optionen!B53,1,0)</f>
        <v>0</v>
      </c>
      <c r="M12" s="62">
        <f>IF(D27=Optionen!B53-1,1/Optionen!B55,0)</f>
        <v>0</v>
      </c>
      <c r="N12" s="62">
        <f>IF(Noteneingabe!N41="nein",0,L12+M12)</f>
        <v>0</v>
      </c>
      <c r="O12" s="62"/>
      <c r="P12" s="63"/>
      <c r="Q12" s="60">
        <v>12</v>
      </c>
      <c r="R12" s="60" t="s">
        <v>117</v>
      </c>
    </row>
    <row r="13" spans="1:16" s="60" customFormat="1" ht="16.5" customHeight="1">
      <c r="A13" s="100"/>
      <c r="B13" s="100"/>
      <c r="C13" s="100"/>
      <c r="D13" s="100"/>
      <c r="E13" s="100"/>
      <c r="F13" s="100"/>
      <c r="G13" s="100"/>
      <c r="I13" s="62" t="s">
        <v>117</v>
      </c>
      <c r="J13" s="62" t="str">
        <f>IF(Optionen!B19="ja"," "&amp;Optionen!B3&amp;" zeigte großes Engagement als Tuto"&amp;IF(Optionen!B7="w","rin","r")&amp;" für die Schüler der 5. Klassen. "," ")</f>
        <v> </v>
      </c>
      <c r="K13" s="62"/>
      <c r="L13" s="62"/>
      <c r="M13" s="62"/>
      <c r="N13" s="62"/>
      <c r="O13" s="62"/>
      <c r="P13" s="63"/>
    </row>
    <row r="14" spans="9:16" s="60" customFormat="1" ht="6.75" customHeight="1">
      <c r="I14" s="62"/>
      <c r="J14" s="62"/>
      <c r="K14" s="62"/>
      <c r="L14" s="62">
        <f>IF(D29=Optionen!B53,1,0)</f>
        <v>0</v>
      </c>
      <c r="M14" s="62">
        <f>IF(D29=Optionen!B53-1,1/Optionen!B55,0)</f>
        <v>0</v>
      </c>
      <c r="N14" s="62">
        <f>IF(Noteneingabe!N48="nein",0,L14+M14)</f>
        <v>0</v>
      </c>
      <c r="O14" s="62"/>
      <c r="P14" s="63"/>
    </row>
    <row r="15" spans="1:16" s="60" customFormat="1" ht="12" customHeight="1">
      <c r="A15" s="94" t="s">
        <v>118</v>
      </c>
      <c r="B15" s="94"/>
      <c r="C15" s="94"/>
      <c r="D15" s="94"/>
      <c r="E15" s="94"/>
      <c r="F15" s="94"/>
      <c r="G15" s="94"/>
      <c r="I15" s="66"/>
      <c r="J15" s="66"/>
      <c r="K15" s="62"/>
      <c r="L15" s="62"/>
      <c r="M15" s="62"/>
      <c r="N15" s="62"/>
      <c r="O15" s="62"/>
      <c r="P15" s="63"/>
    </row>
    <row r="16" spans="9:16" s="60" customFormat="1" ht="4.5" customHeight="1">
      <c r="I16" s="66"/>
      <c r="J16" s="66"/>
      <c r="K16" s="62"/>
      <c r="L16" s="62">
        <f>IF(D31=Optionen!B53,1,0)</f>
        <v>0</v>
      </c>
      <c r="M16" s="62">
        <f>IF(D31=Optionen!B53-1,1/Optionen!B55,0)</f>
        <v>0</v>
      </c>
      <c r="N16" s="62">
        <f>IF(Noteneingabe!N55="nein",0,L16+M16)</f>
        <v>0</v>
      </c>
      <c r="O16" s="62"/>
      <c r="P16" s="63"/>
    </row>
    <row r="17" spans="1:16" s="60" customFormat="1" ht="13.5" customHeight="1">
      <c r="A17" s="101" t="str">
        <f>Noteneingabe!A1&amp;" "&amp;REPT(". ",50)</f>
        <v>Ethik . . . . . . . . . . . . . . . . . . . . . . . . . . . . . . . . . . . . . . . . . . . . . . . . . . </v>
      </c>
      <c r="B17" s="101"/>
      <c r="C17" s="68" t="str">
        <f>IF(OR(AND(Optionen!$F$6="z",Optionen!$D$32="Wort"),AND(Optionen!$F$6&lt;&gt;"z",Optionen!$D$35="Wort")),IF(D17=1,Optionen!$B$32,IF(D17=2,Optionen!$B$33,IF(D17=3,Optionen!$B$34,IF(D17=4,Optionen!$B$35,IF(D17=5,Optionen!$B$36,IF(D17=6,Optionen!$B$37,D17)))))),D17)</f>
        <v>---</v>
      </c>
      <c r="D17" s="69" t="str">
        <f>Noteneingabe!G6</f>
        <v>---</v>
      </c>
      <c r="E17" s="101" t="str">
        <f>Noteneingabe!A71&amp;REPT(" .",50)</f>
        <v>Geschichte . . . . . . . . . . . . . . . . . . . . . . . . . . . . . . . . . . . . . . . . . . . . . . . . . .</v>
      </c>
      <c r="F17" s="101"/>
      <c r="G17" s="68" t="str">
        <f>IF(OR(AND(Optionen!$F$6="z",Optionen!$D$32="Wort"),AND(Optionen!$F$6&lt;&gt;"z",Optionen!$D$35="Wort")),IF(H17=1,Optionen!$B$32,IF(H17=2,Optionen!$B$33,IF(H17=3,Optionen!$B$34,IF(H17=4,Optionen!$B$35,IF(H17=5,Optionen!$B$36,IF(H17=6,Optionen!$B$37,H17)))))),H17)</f>
        <v>---</v>
      </c>
      <c r="H17" s="60" t="str">
        <f>Noteneingabe!G76</f>
        <v>---</v>
      </c>
      <c r="I17" s="62">
        <f>IF(Optionen!F16=0,"",IF(Optionen!F16=1,I19,IF(Optionen!F16=2,I21,I23)))</f>
      </c>
      <c r="J17" s="66"/>
      <c r="K17" s="62"/>
      <c r="L17" s="62"/>
      <c r="M17" s="62"/>
      <c r="N17" s="62"/>
      <c r="O17" s="62"/>
      <c r="P17" s="63"/>
    </row>
    <row r="18" spans="1:15" s="60" customFormat="1" ht="5.25" customHeight="1">
      <c r="A18" s="101"/>
      <c r="B18" s="101"/>
      <c r="C18" s="67"/>
      <c r="D18" s="69"/>
      <c r="E18" s="67"/>
      <c r="F18" s="67"/>
      <c r="G18" s="70"/>
      <c r="I18" s="62"/>
      <c r="J18" s="66"/>
      <c r="K18" s="62"/>
      <c r="L18" s="62">
        <f>IF(D33=Optionen!B53,1,0)</f>
        <v>0</v>
      </c>
      <c r="M18" s="62">
        <f>IF(D33=Optionen!B53-1,1/Optionen!B55,0)</f>
        <v>0</v>
      </c>
      <c r="N18" s="62">
        <f>IF(Noteneingabe!N62="nein",0,L18+M18)</f>
        <v>0</v>
      </c>
      <c r="O18" s="62"/>
    </row>
    <row r="19" spans="1:15" s="60" customFormat="1" ht="13.5" customHeight="1">
      <c r="A19" s="101" t="str">
        <f>Noteneingabe!A8&amp;" "&amp;REPT(". ",50)</f>
        <v>Deutsch . . . . . . . . . . . . . . . . . . . . . . . . . . . . . . . . . . . . . . . . . . . . . . . . . . </v>
      </c>
      <c r="B19" s="101"/>
      <c r="C19" s="68" t="str">
        <f>IF(OR(AND(Optionen!$F$6="z",Optionen!$D$32="Wort"),AND(Optionen!$F$6&lt;&gt;"z",Optionen!$D$35="Wort")),IF(D19=1,Optionen!$B$32,IF(D19=2,Optionen!$B$33,IF(D19=3,Optionen!$B$34,IF(D19=4,Optionen!$B$35,IF(D19=5,Optionen!$B$36,IF(D19=6,Optionen!$B$37,D19)))))),D19)</f>
        <v>---</v>
      </c>
      <c r="D19" s="69" t="str">
        <f>Noteneingabe!G13</f>
        <v>---</v>
      </c>
      <c r="E19" s="101" t="str">
        <f>Noteneingabe!A78&amp;REPT(" .",50)</f>
        <v>Erdkunde . . . . . . . . . . . . . . . . . . . . . . . . . . . . . . . . . . . . . . . . . . . . . . . . . .</v>
      </c>
      <c r="F19" s="101"/>
      <c r="G19" s="68" t="str">
        <f>IF(OR(AND(Optionen!$F$6="z",Optionen!$D$32="Wort"),AND(Optionen!$F$6&lt;&gt;"z",Optionen!$D$35="Wort")),IF(H19=1,Optionen!$B$32,IF(H19=2,Optionen!$B$33,IF(H19=3,Optionen!$B$34,IF(H19=4,Optionen!$B$35,IF(H19=5,Optionen!$B$36,IF(H19=6,Optionen!$B$37,H19)))))),H19)</f>
        <v>---</v>
      </c>
      <c r="H19" s="60" t="str">
        <f>Noteneingabe!G83</f>
        <v>---</v>
      </c>
      <c r="I19" s="62" t="str">
        <f>IF(Optionen!B7="m","Der Schüler","Die Schülerin")&amp;" nahm mit "&amp;Optionen!B41&amp;" am Wahlkurs "&amp;Optionen!B15&amp;" teil."</f>
        <v>Die Schülerin nahm mit großen Erfolg am Wahlkurs  teil.</v>
      </c>
      <c r="J19" s="66"/>
      <c r="K19" s="62"/>
      <c r="L19" s="62"/>
      <c r="M19" s="62"/>
      <c r="N19" s="62"/>
      <c r="O19" s="62"/>
    </row>
    <row r="20" spans="1:15" s="60" customFormat="1" ht="5.25" customHeight="1">
      <c r="A20" s="101"/>
      <c r="B20" s="101"/>
      <c r="C20" s="67"/>
      <c r="D20" s="69"/>
      <c r="E20" s="67"/>
      <c r="F20" s="67"/>
      <c r="G20" s="70"/>
      <c r="I20" s="62"/>
      <c r="J20" s="66"/>
      <c r="K20" s="62"/>
      <c r="L20" s="62">
        <f>IF(D35=Optionen!B53,1,0)</f>
        <v>0</v>
      </c>
      <c r="M20" s="62">
        <f>IF(D35=Optionen!B53-1,1/Optionen!B55,0)</f>
        <v>0</v>
      </c>
      <c r="N20" s="62">
        <f>IF(Noteneingabe!N69="nein",0,L20+M20)</f>
        <v>0</v>
      </c>
      <c r="O20" s="62"/>
    </row>
    <row r="21" spans="1:15" s="60" customFormat="1" ht="13.5" customHeight="1">
      <c r="A21" s="101" t="str">
        <f>Noteneingabe!A15&amp;" "&amp;REPT(". ",50)</f>
        <v>Latein . . . . . . . . . . . . . . . . . . . . . . . . . . . . . . . . . . . . . . . . . . . . . . . . . . </v>
      </c>
      <c r="B21" s="101"/>
      <c r="C21" s="68" t="str">
        <f>IF(OR(AND(Optionen!$F$6="z",Optionen!$D$32="Wort"),AND(Optionen!$F$6&lt;&gt;"z",Optionen!$D$35="Wort")),IF(D21=1,Optionen!$B$32,IF(D21=2,Optionen!$B$33,IF(D21=3,Optionen!$B$34,IF(D21=4,Optionen!$B$35,IF(D21=5,Optionen!$B$36,IF(D21=6,Optionen!$B$37,D21)))))),D21)</f>
        <v>---</v>
      </c>
      <c r="D21" s="69" t="str">
        <f>Noteneingabe!G20</f>
        <v>---</v>
      </c>
      <c r="E21" s="101" t="str">
        <f>Noteneingabe!A85&amp;REPT(" .",50)</f>
        <v>Sozialkunde . . . . . . . . . . . . . . . . . . . . . . . . . . . . . . . . . . . . . . . . . . . . . . . . . .</v>
      </c>
      <c r="F21" s="101"/>
      <c r="G21" s="68" t="str">
        <f>IF(OR(AND(Optionen!$F$6="z",Optionen!$D$32="Wort"),AND(Optionen!$F$6&lt;&gt;"z",Optionen!$D$35="Wort")),IF(H21=1,Optionen!$B$32,IF(H21=2,Optionen!$B$33,IF(H21=3,Optionen!$B$34,IF(H21=4,Optionen!$B$35,IF(H21=5,Optionen!$B$36,IF(H21=6,Optionen!$B$37,H21)))))),H21)</f>
        <v>---</v>
      </c>
      <c r="H21" s="60" t="str">
        <f>Noteneingabe!G90</f>
        <v>---</v>
      </c>
      <c r="I21" s="62" t="str">
        <f>IF(Optionen!B7="m","Der Schüler","Die Schülerin")&amp;" nahm mit "&amp;Optionen!B41&amp;" an den Wahlkursen "&amp;Optionen!B15&amp;" und "&amp;Optionen!B16&amp;" teil."</f>
        <v>Die Schülerin nahm mit großen Erfolg an den Wahlkursen  und  teil.</v>
      </c>
      <c r="J21" s="66"/>
      <c r="K21" s="62"/>
      <c r="L21" s="62">
        <f>IF(H17=Optionen!B53,1,0)</f>
        <v>0</v>
      </c>
      <c r="M21" s="62">
        <f>IF(H17=Optionen!B53-1,1/Optionen!B55,0)</f>
        <v>0</v>
      </c>
      <c r="N21" s="62">
        <f>IF(Noteneingabe!N76="nein",0,L21+M21)</f>
        <v>0</v>
      </c>
      <c r="O21" s="62"/>
    </row>
    <row r="22" spans="1:15" s="60" customFormat="1" ht="5.25" customHeight="1">
      <c r="A22" s="101"/>
      <c r="B22" s="101"/>
      <c r="C22" s="67"/>
      <c r="D22" s="69"/>
      <c r="E22" s="67"/>
      <c r="F22" s="67"/>
      <c r="G22" s="70"/>
      <c r="I22" s="62"/>
      <c r="J22" s="66"/>
      <c r="K22" s="62"/>
      <c r="L22" s="62"/>
      <c r="M22" s="62"/>
      <c r="N22" s="62"/>
      <c r="O22" s="62"/>
    </row>
    <row r="23" spans="1:15" s="60" customFormat="1" ht="15">
      <c r="A23" s="101" t="str">
        <f>Noteneingabe!A22&amp;" "&amp;REPT(". ",50)</f>
        <v>Griechisch . . . . . . . . . . . . . . . . . . . . . . . . . . . . . . . . . . . . . . . . . . . . . . . . . . </v>
      </c>
      <c r="B23" s="101"/>
      <c r="C23" s="68" t="str">
        <f>IF(OR(AND(Optionen!$F$6="z",Optionen!$D$32="Wort"),AND(Optionen!$F$6&lt;&gt;"z",Optionen!$D$35="Wort")),IF(D23=1,Optionen!$B$32,IF(D23=2,Optionen!$B$33,IF(D23=3,Optionen!$B$34,IF(D23=4,Optionen!$B$35,IF(D23=5,Optionen!$B$36,IF(D23=6,Optionen!$B$37,D23)))))),D23)</f>
        <v>---</v>
      </c>
      <c r="D23" s="69" t="str">
        <f>Noteneingabe!G27</f>
        <v>---</v>
      </c>
      <c r="E23" s="101" t="str">
        <f>Noteneingabe!A92&amp;REPT(" .",50)</f>
        <v>Wirtschafts- und Rechtslehre . . . . . . . . . . . . . . . . . . . . . . . . . . . . . . . . . . . . . . . . . . . . . . . . . .</v>
      </c>
      <c r="F23" s="101"/>
      <c r="G23" s="68" t="str">
        <f>IF(OR(AND(Optionen!$F$6="z",Optionen!$D$32="Wort"),AND(Optionen!$F$6&lt;&gt;"z",Optionen!$D$35="Wort")),IF(H23=1,Optionen!$B$32,IF(H23=2,Optionen!$B$33,IF(H23=3,Optionen!$B$34,IF(H23=4,Optionen!$B$35,IF(H23=5,Optionen!$B$36,IF(H23=6,Optionen!$B$37,H23)))))),H23)</f>
        <v>---</v>
      </c>
      <c r="H23" s="60" t="str">
        <f>Noteneingabe!G97</f>
        <v>---</v>
      </c>
      <c r="I23" s="62" t="str">
        <f>IF(Optionen!B7="m","Der Schüler","Die Schülerin")&amp;" nahm mit "&amp;Optionen!B41&amp;" an den Wahlkursen "&amp;Optionen!B15&amp;", "&amp;Optionen!B16&amp;" und "&amp;Optionen!B17&amp;" teil."</f>
        <v>Die Schülerin nahm mit großen Erfolg an den Wahlkursen ,  und  teil.</v>
      </c>
      <c r="J23" s="66"/>
      <c r="K23" s="62"/>
      <c r="L23" s="62">
        <f>IF(H19=Optionen!B53,1,0)</f>
        <v>0</v>
      </c>
      <c r="M23" s="62">
        <f>IF(H19=Optionen!B53-1,1/Optionen!B55,0)</f>
        <v>0</v>
      </c>
      <c r="N23" s="62">
        <f>IF(Noteneingabe!N83="nein",0,L23+M23)</f>
        <v>0</v>
      </c>
      <c r="O23" s="62"/>
    </row>
    <row r="24" spans="1:15" s="60" customFormat="1" ht="4.5" customHeight="1">
      <c r="A24" s="101"/>
      <c r="B24" s="101"/>
      <c r="C24" s="67"/>
      <c r="D24" s="69"/>
      <c r="E24" s="67"/>
      <c r="F24" s="67"/>
      <c r="G24" s="70"/>
      <c r="I24" s="66"/>
      <c r="J24" s="66"/>
      <c r="K24" s="62"/>
      <c r="L24" s="62"/>
      <c r="M24" s="62"/>
      <c r="N24" s="62"/>
      <c r="O24" s="62"/>
    </row>
    <row r="25" spans="1:15" s="60" customFormat="1" ht="13.5" customHeight="1">
      <c r="A25" s="101" t="str">
        <f>Noteneingabe!A29&amp;" "&amp;REPT(". ",50)</f>
        <v>Englisch . . . . . . . . . . . . . . . . . . . . . . . . . . . . . . . . . . . . . . . . . . . . . . . . . . </v>
      </c>
      <c r="B25" s="101"/>
      <c r="C25" s="68" t="str">
        <f>IF(OR(AND(Optionen!$F$6="z",Optionen!$D$32="Wort"),AND(Optionen!$F$6&lt;&gt;"z",Optionen!$D$35="Wort")),IF(D25=1,Optionen!$B$32,IF(D25=2,Optionen!$B$33,IF(D25=3,Optionen!$B$34,IF(D25=4,Optionen!$B$35,IF(D25=5,Optionen!$B$36,IF(D25=6,Optionen!$B$37,D25)))))),D25)</f>
        <v>---</v>
      </c>
      <c r="D25" s="69" t="str">
        <f>Noteneingabe!G34</f>
        <v>---</v>
      </c>
      <c r="E25" s="101" t="str">
        <f>Noteneingabe!A99&amp;REPT(" .",10)</f>
        <v>Kunst . . . . . . . . . .</v>
      </c>
      <c r="F25" s="101"/>
      <c r="G25" s="68" t="str">
        <f>IF(OR(AND(Optionen!$F$6="z",Optionen!$D$32="Wort"),AND(Optionen!$F$6&lt;&gt;"z",Optionen!$D$35="Wort")),IF(H25=1,Optionen!$B$32,IF(H25=2,Optionen!$B$33,IF(H25=3,Optionen!$B$34,IF(H25=4,Optionen!$B$35,IF(H25=5,Optionen!$B$36,IF(H25=6,Optionen!$B$37,H25)))))),H25)</f>
        <v>---</v>
      </c>
      <c r="H25" s="60" t="str">
        <f>Noteneingabe!G104</f>
        <v>---</v>
      </c>
      <c r="I25" s="66"/>
      <c r="J25" s="66"/>
      <c r="K25" s="62"/>
      <c r="L25" s="62">
        <f>IF(H21=Optionen!B53,1,0)</f>
        <v>0</v>
      </c>
      <c r="M25" s="62">
        <f>IF(H21=Optionen!B53-1,1/Optionen!B55,0)</f>
        <v>0</v>
      </c>
      <c r="N25" s="62">
        <f>IF(Noteneingabe!N90="nein",0,L25+M25)</f>
        <v>0</v>
      </c>
      <c r="O25" s="62"/>
    </row>
    <row r="26" spans="1:15" s="60" customFormat="1" ht="5.25" customHeight="1">
      <c r="A26" s="101"/>
      <c r="B26" s="101"/>
      <c r="C26" s="67"/>
      <c r="D26" s="69"/>
      <c r="E26" s="101"/>
      <c r="F26" s="101"/>
      <c r="G26" s="70"/>
      <c r="I26" s="66"/>
      <c r="J26" s="66"/>
      <c r="K26" s="62"/>
      <c r="L26" s="62"/>
      <c r="M26" s="62"/>
      <c r="N26" s="62"/>
      <c r="O26" s="62"/>
    </row>
    <row r="27" spans="1:15" s="60" customFormat="1" ht="13.5" customHeight="1">
      <c r="A27" s="101" t="str">
        <f>Noteneingabe!A36&amp;" "&amp;REPT(". ",50)</f>
        <v>Französisch . . . . . . . . . . . . . . . . . . . . . . . . . . . . . . . . . . . . . . . . . . . . . . . . . . </v>
      </c>
      <c r="B27" s="101"/>
      <c r="C27" s="68" t="str">
        <f>IF(OR(AND(Optionen!$F$6="z",Optionen!$D$32="Wort"),AND(Optionen!$F$6&lt;&gt;"z",Optionen!$D$35="Wort")),IF(D27=1,Optionen!$B$32,IF(D27=2,Optionen!$B$33,IF(D27=3,Optionen!$B$34,IF(D27=4,Optionen!$B$35,IF(D27=5,Optionen!$B$36,IF(D27=6,Optionen!$B$37,D27)))))),D27)</f>
        <v>---</v>
      </c>
      <c r="D27" s="69" t="str">
        <f>Noteneingabe!G41</f>
        <v>---</v>
      </c>
      <c r="E27" s="67" t="str">
        <f>Noteneingabe!A106&amp;REPT(" .",10)</f>
        <v>Musik . . . . . . . . . .</v>
      </c>
      <c r="F27" s="67"/>
      <c r="G27" s="68" t="str">
        <f>IF(OR(AND(Optionen!$F$6="z",Optionen!$D$32="Wort"),AND(Optionen!$F$6&lt;&gt;"z",Optionen!$D$35="Wort")),IF(H27=1,Optionen!$B$32,IF(H27=2,Optionen!$B$33,IF(H27=3,Optionen!$B$34,IF(H27=4,Optionen!$B$35,IF(H27=5,Optionen!$B$36,IF(H27=6,Optionen!$B$37,H27)))))),H27)</f>
        <v>---</v>
      </c>
      <c r="H27" s="60" t="str">
        <f>Noteneingabe!G111</f>
        <v>---</v>
      </c>
      <c r="I27" s="66"/>
      <c r="J27" s="66"/>
      <c r="K27" s="62"/>
      <c r="L27" s="62">
        <f>IF(H23=Optionen!B53,1,0)</f>
        <v>0</v>
      </c>
      <c r="M27" s="62">
        <f>IF(H23=Optionen!B53-1,1/Optionen!B55,0)</f>
        <v>0</v>
      </c>
      <c r="N27" s="62">
        <f>IF(Noteneingabe!N97="nein",0,L27+M27)</f>
        <v>0</v>
      </c>
      <c r="O27" s="62"/>
    </row>
    <row r="28" spans="1:15" s="60" customFormat="1" ht="5.25" customHeight="1">
      <c r="A28" s="101"/>
      <c r="B28" s="101"/>
      <c r="C28" s="67"/>
      <c r="D28" s="69"/>
      <c r="E28" s="101"/>
      <c r="F28" s="101"/>
      <c r="G28" s="70"/>
      <c r="I28" s="66"/>
      <c r="J28" s="66"/>
      <c r="K28" s="62"/>
      <c r="L28" s="62"/>
      <c r="M28" s="62"/>
      <c r="N28" s="62"/>
      <c r="O28" s="62"/>
    </row>
    <row r="29" spans="1:15" s="60" customFormat="1" ht="13.5" customHeight="1">
      <c r="A29" s="101" t="str">
        <f>Noteneingabe!A43&amp;" "&amp;REPT(". ",50)</f>
        <v>Mathematik . . . . . . . . . . . . . . . . . . . . . . . . . . . . . . . . . . . . . . . . . . . . . . . . . . </v>
      </c>
      <c r="B29" s="101"/>
      <c r="C29" s="68" t="str">
        <f>IF(OR(AND(Optionen!$F$6="z",Optionen!$D$32="Wort"),AND(Optionen!$F$6&lt;&gt;"z",Optionen!$D$35="Wort")),IF(D29=1,Optionen!$B$32,IF(D29=2,Optionen!$B$33,IF(D29=3,Optionen!$B$34,IF(D29=4,Optionen!$B$35,IF(D29=5,Optionen!$B$36,IF(D29=6,Optionen!$B$37,D29)))))),D29)</f>
        <v>---</v>
      </c>
      <c r="D29" s="69" t="str">
        <f>Noteneingabe!G48</f>
        <v>---</v>
      </c>
      <c r="E29" s="67" t="str">
        <f>Noteneingabe!A113&amp;REPT(" .",50)</f>
        <v>Sport . . . . . . . . . . . . . . . . . . . . . . . . . . . . . . . . . . . . . . . . . . . . . . . . . .</v>
      </c>
      <c r="F29" s="67"/>
      <c r="G29" s="68" t="str">
        <f>IF(OR(AND(Optionen!$F$6="z",Optionen!$D$32="Wort"),AND(Optionen!$F$6&lt;&gt;"z",Optionen!$D$35="Wort")),IF(H29=1,Optionen!$B$32,IF(H29=2,Optionen!$B$33,IF(H29=3,Optionen!$B$34,IF(H29=4,Optionen!$B$35,IF(H29=5,Optionen!$B$36,IF(H29=6,Optionen!$B$37,H29)))))),H29)</f>
        <v>---</v>
      </c>
      <c r="H29" s="60" t="str">
        <f>Noteneingabe!G118</f>
        <v>---</v>
      </c>
      <c r="I29" s="66"/>
      <c r="J29" s="66"/>
      <c r="K29" s="62"/>
      <c r="L29" s="62">
        <f>IF(H25=Optionen!B53,1,0)</f>
        <v>0</v>
      </c>
      <c r="M29" s="62">
        <f>IF(H25=Optionen!B53-1,1/Optionen!B55,0)</f>
        <v>0</v>
      </c>
      <c r="N29" s="62">
        <f>IF(Noteneingabe!N104="nein",0,L29+M29)</f>
        <v>0</v>
      </c>
      <c r="O29" s="62"/>
    </row>
    <row r="30" spans="1:15" s="60" customFormat="1" ht="5.25" customHeight="1">
      <c r="A30" s="101"/>
      <c r="B30" s="101"/>
      <c r="C30" s="67"/>
      <c r="D30" s="69"/>
      <c r="E30" s="101"/>
      <c r="F30" s="101"/>
      <c r="G30" s="70"/>
      <c r="I30" s="66"/>
      <c r="J30" s="66"/>
      <c r="K30" s="62"/>
      <c r="L30" s="62"/>
      <c r="M30" s="62"/>
      <c r="N30" s="62"/>
      <c r="O30" s="62"/>
    </row>
    <row r="31" spans="1:15" s="60" customFormat="1" ht="15">
      <c r="A31" s="101" t="str">
        <f>Noteneingabe!A50&amp;" "&amp;REPT(". ",50)</f>
        <v>Physik . . . . . . . . . . . . . . . . . . . . . . . . . . . . . . . . . . . . . . . . . . . . . . . . . . </v>
      </c>
      <c r="B31" s="101"/>
      <c r="C31" s="68" t="str">
        <f>IF(OR(AND(Optionen!$F$6="z",Optionen!$D$32="Wort"),AND(Optionen!$F$6&lt;&gt;"z",Optionen!$D$35="Wort")),IF(D31=1,Optionen!$B$32,IF(D31=2,Optionen!$B$33,IF(D31=3,Optionen!$B$34,IF(D31=4,Optionen!$B$35,IF(D31=5,Optionen!$B$36,IF(D31=6,Optionen!$B$37,D31)))))),D31)</f>
        <v>---</v>
      </c>
      <c r="D31" s="69" t="str">
        <f>Noteneingabe!G55</f>
        <v>---</v>
      </c>
      <c r="E31" s="67" t="str">
        <f>Noteneingabe!A120&amp;REPT(" .",50)</f>
        <v>Spanisch . . . . . . . . . . . . . . . . . . . . . . . . . . . . . . . . . . . . . . . . . . . . . . . . . .</v>
      </c>
      <c r="F31" s="67"/>
      <c r="G31" s="68" t="str">
        <f>IF(OR(AND(Optionen!$F$6="z",Optionen!$D$32="Wort"),AND(Optionen!$F$6&lt;&gt;"z",Optionen!$D$35="Wort")),IF(H31=1,Optionen!$B$32,IF(H31=2,Optionen!$B$33,IF(H31=3,Optionen!$B$34,IF(H31=4,Optionen!$B$35,IF(H31=5,Optionen!$B$36,IF(H31=6,Optionen!$B$37,H31)))))),H31)</f>
        <v>---</v>
      </c>
      <c r="H31" s="60" t="str">
        <f>Noteneingabe!G125</f>
        <v>---</v>
      </c>
      <c r="I31" s="66"/>
      <c r="J31" s="66"/>
      <c r="K31" s="62"/>
      <c r="L31" s="62">
        <f>IF(H27=Optionen!B53,1,0)</f>
        <v>0</v>
      </c>
      <c r="M31" s="62">
        <f>IF(H27=Optionen!B53-1,1/Optionen!B55,0)</f>
        <v>0</v>
      </c>
      <c r="N31" s="62">
        <f>IF(Noteneingabe!N111="nein",0,L31+M31)</f>
        <v>0</v>
      </c>
      <c r="O31" s="62"/>
    </row>
    <row r="32" spans="1:15" s="60" customFormat="1" ht="5.25" customHeight="1">
      <c r="A32" s="101"/>
      <c r="B32" s="101"/>
      <c r="C32" s="67"/>
      <c r="D32" s="69"/>
      <c r="E32" s="101"/>
      <c r="F32" s="101"/>
      <c r="G32" s="70"/>
      <c r="I32" s="62"/>
      <c r="J32" s="62"/>
      <c r="K32" s="62"/>
      <c r="L32" s="62"/>
      <c r="M32" s="62"/>
      <c r="N32" s="62"/>
      <c r="O32" s="62"/>
    </row>
    <row r="33" spans="1:15" s="60" customFormat="1" ht="13.5" customHeight="1">
      <c r="A33" s="101" t="str">
        <f>Noteneingabe!A57&amp;REPT(" .",50)</f>
        <v>Chemie . . . . . . . . . . . . . . . . . . . . . . . . . . . . . . . . . . . . . . . . . . . . . . . . . .</v>
      </c>
      <c r="B33" s="101"/>
      <c r="C33" s="68" t="str">
        <f>IF(OR(AND(Optionen!$F$6="z",Optionen!$D$32="Wort"),AND(Optionen!$F$6&lt;&gt;"z",Optionen!$D$35="Wort")),IF(D33=1,Optionen!$B$32,IF(D33=2,Optionen!$B$33,IF(D33=3,Optionen!$B$34,IF(D33=4,Optionen!$B$35,IF(D33=5,Optionen!$B$36,IF(D33=6,Optionen!$B$37,D33)))))),D33)</f>
        <v>---</v>
      </c>
      <c r="D33" s="69" t="str">
        <f>Noteneingabe!G62</f>
        <v>---</v>
      </c>
      <c r="E33" s="67" t="str">
        <f>Noteneingabe!A127&amp;REPT(" .",50)</f>
        <v>Informatik . . . . . . . . . . . . . . . . . . . . . . . . . . . . . . . . . . . . . . . . . . . . . . . . . .</v>
      </c>
      <c r="F33" s="67"/>
      <c r="G33" s="68" t="str">
        <f>IF(OR(AND(Optionen!$F$6="z",Optionen!$D$32="Wort"),AND(Optionen!$F$6&lt;&gt;"z",Optionen!$D$35="Wort")),IF(H33=1,Optionen!$B$32,IF(H33=2,Optionen!$B$33,IF(H33=3,Optionen!$B$34,IF(H33=4,Optionen!$B$35,IF(H33=5,Optionen!$B$36,IF(H33=6,Optionen!$B$37,H33)))))),H33)</f>
        <v>---</v>
      </c>
      <c r="H33" s="60" t="str">
        <f>Noteneingabe!G132</f>
        <v>---</v>
      </c>
      <c r="I33" s="62"/>
      <c r="J33" s="62"/>
      <c r="K33" s="62"/>
      <c r="L33" s="62">
        <f>IF(H29=Optionen!B53,1,0)</f>
        <v>0</v>
      </c>
      <c r="M33" s="62">
        <f>IF(H29=Optionen!B53-1,1/Optionen!B55,0)</f>
        <v>0</v>
      </c>
      <c r="N33" s="62">
        <f>IF(Noteneingabe!N118="nein",0,L33+M33)</f>
        <v>0</v>
      </c>
      <c r="O33" s="62"/>
    </row>
    <row r="34" spans="1:15" s="60" customFormat="1" ht="5.25" customHeight="1">
      <c r="A34" s="101"/>
      <c r="B34" s="101"/>
      <c r="C34" s="67"/>
      <c r="D34" s="69"/>
      <c r="E34" s="101"/>
      <c r="F34" s="101"/>
      <c r="G34" s="70"/>
      <c r="I34" s="62"/>
      <c r="J34" s="62"/>
      <c r="K34" s="62"/>
      <c r="L34" s="62"/>
      <c r="M34" s="62"/>
      <c r="N34" s="62"/>
      <c r="O34" s="62"/>
    </row>
    <row r="35" spans="1:15" s="60" customFormat="1" ht="13.5" customHeight="1">
      <c r="A35" s="101" t="str">
        <f>Noteneingabe!A64&amp;REPT(" .",50)</f>
        <v>Biologie . . . . . . . . . . . . . . . . . . . . . . . . . . . . . . . . . . . . . . . . . . . . . . . . . .</v>
      </c>
      <c r="B35" s="101"/>
      <c r="C35" s="68" t="str">
        <f>IF(OR(AND(Optionen!$F$6="z",Optionen!$D$32="Wort"),AND(Optionen!$F$6&lt;&gt;"z",Optionen!$D$35="Wort")),IF(D35=1,Optionen!$B$32,IF(D35=2,Optionen!$B$33,IF(D35=3,Optionen!$B$34,IF(D35=4,Optionen!$B$35,IF(D35=5,Optionen!$B$36,IF(D35=6,Optionen!$B$37,D35)))))),D35)</f>
        <v>---</v>
      </c>
      <c r="D35" s="69" t="str">
        <f>Noteneingabe!G69</f>
        <v>---</v>
      </c>
      <c r="E35" s="67" t="str">
        <f>Noteneingabe!A134&amp;REPT(" .",50)</f>
        <v>Werken . . . . . . . . . . . . . . . . . . . . . . . . . . . . . . . . . . . . . . . . . . . . . . . . . .</v>
      </c>
      <c r="F35" s="67"/>
      <c r="G35" s="68" t="str">
        <f>IF(OR(AND(Optionen!$F$6="z",Optionen!$D$32="Wort"),AND(Optionen!$F$6&lt;&gt;"z",Optionen!$D$35="Wort")),IF(H35=1,Optionen!$B$32,IF(H35=2,Optionen!$B$33,IF(H35=3,Optionen!$B$34,IF(H35=4,Optionen!$B$35,IF(H35=5,Optionen!$B$36,IF(H35=6,Optionen!$B$37,H35)))))),H35)</f>
        <v>---</v>
      </c>
      <c r="H35" s="60" t="str">
        <f>Noteneingabe!G139</f>
        <v>---</v>
      </c>
      <c r="I35" s="62"/>
      <c r="J35" s="62"/>
      <c r="K35" s="62"/>
      <c r="L35" s="62">
        <f>IF(H31=Optionen!B53,1,0)</f>
        <v>0</v>
      </c>
      <c r="M35" s="62">
        <f>IF(H31=Optionen!B53-1,1/Optionen!B55,0)</f>
        <v>0</v>
      </c>
      <c r="N35" s="62">
        <f>IF(Noteneingabe!N125="nein",0,L35+M35)</f>
        <v>0</v>
      </c>
      <c r="O35" s="62"/>
    </row>
    <row r="36" spans="9:15" s="60" customFormat="1" ht="10.5" customHeight="1">
      <c r="I36" s="62"/>
      <c r="J36" s="62"/>
      <c r="K36" s="62"/>
      <c r="L36" s="62"/>
      <c r="M36" s="62"/>
      <c r="N36" s="62"/>
      <c r="O36" s="62"/>
    </row>
    <row r="37" spans="1:15" s="60" customFormat="1" ht="14.25" customHeight="1">
      <c r="A37" s="102" t="str">
        <f>REPT("-",1000)</f>
        <v>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</v>
      </c>
      <c r="B37" s="102"/>
      <c r="C37" s="102"/>
      <c r="D37" s="102"/>
      <c r="E37" s="102"/>
      <c r="F37" s="102"/>
      <c r="G37" s="102"/>
      <c r="I37" s="62"/>
      <c r="J37" s="62"/>
      <c r="K37" s="62"/>
      <c r="L37" s="62">
        <f>IF(H33=Optionen!B53,1,0)</f>
        <v>0</v>
      </c>
      <c r="M37" s="62">
        <f>IF(H33=Optionen!B53-1,1/Optionen!B55,0)</f>
        <v>0</v>
      </c>
      <c r="N37" s="62">
        <f>IF(Noteneingabe!N132="nein",0,L37+M37)</f>
        <v>0</v>
      </c>
      <c r="O37" s="62"/>
    </row>
    <row r="38" spans="1:15" s="60" customFormat="1" ht="18.75" customHeight="1">
      <c r="A38" s="102" t="str">
        <f>REPT("-",1000)</f>
        <v>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</v>
      </c>
      <c r="B38" s="102"/>
      <c r="C38" s="102"/>
      <c r="D38" s="102"/>
      <c r="E38" s="102"/>
      <c r="F38" s="102"/>
      <c r="G38" s="102"/>
      <c r="I38" s="62"/>
      <c r="J38" s="62"/>
      <c r="K38" s="62"/>
      <c r="L38" s="62"/>
      <c r="M38" s="62"/>
      <c r="N38" s="62"/>
      <c r="O38" s="62"/>
    </row>
    <row r="39" spans="1:15" s="60" customFormat="1" ht="18" customHeight="1">
      <c r="A39" s="102" t="str">
        <f>REPT("-",1000)</f>
        <v>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</v>
      </c>
      <c r="B39" s="102"/>
      <c r="C39" s="102"/>
      <c r="D39" s="102"/>
      <c r="E39" s="102"/>
      <c r="F39" s="102"/>
      <c r="G39" s="102"/>
      <c r="I39" s="62"/>
      <c r="J39" s="62"/>
      <c r="K39" s="62"/>
      <c r="L39" s="62">
        <f>IF(H35=Optionen!B53,1,0)</f>
        <v>0</v>
      </c>
      <c r="M39" s="62">
        <f>IF(H35=Optionen!B53-1,1/Optionen!B55,0)</f>
        <v>0</v>
      </c>
      <c r="N39" s="62">
        <f>IF(Noteneingabe!N139="nein",0,L39+M39)</f>
        <v>0</v>
      </c>
      <c r="O39" s="62"/>
    </row>
    <row r="40" spans="1:15" s="60" customFormat="1" ht="18.75" customHeight="1">
      <c r="A40" s="103" t="str">
        <f>IF(Optionen!B43="nein","",IF(Optionen!F6="z","Das Vorrücken in die nächsthöhere Jahrgangsstufe ist "&amp;IF(SUM(N2:N39)&lt;1,IF(SUM(N2:N39)&lt;0.5,"nicht gefährdet.","gefährdet."),IF(SUM(N2:N39)&lt;1,"nicht gefährdet.","sehr gefährdet.")),"Die Erlaubnis zum Vorrücken in die nächsthöhere Jahrgangsstufe hat"&amp;IF(Optionen!B6="w"," sie "," er ")&amp;IF(SUM(N2:N39)&lt;1,"erhalten.","nicht erhalten.")))</f>
        <v>Das Vorrücken in die nächsthöhere Jahrgangsstufe ist nicht gefährdet.</v>
      </c>
      <c r="B40" s="103"/>
      <c r="C40" s="103"/>
      <c r="D40" s="103"/>
      <c r="E40" s="103"/>
      <c r="F40" s="103"/>
      <c r="G40" s="103"/>
      <c r="I40" s="62"/>
      <c r="J40" s="62"/>
      <c r="K40" s="62"/>
      <c r="L40" s="62"/>
      <c r="M40" s="62"/>
      <c r="N40" s="62"/>
      <c r="O40" s="62"/>
    </row>
    <row r="41" spans="1:15" s="60" customFormat="1" ht="8.25" customHeight="1">
      <c r="A41" s="71"/>
      <c r="I41" s="62"/>
      <c r="J41" s="62"/>
      <c r="K41" s="62"/>
      <c r="L41" s="62"/>
      <c r="M41" s="62"/>
      <c r="N41" s="62"/>
      <c r="O41" s="62"/>
    </row>
    <row r="42" spans="1:15" s="60" customFormat="1" ht="12.75">
      <c r="A42" s="104" t="str">
        <f ca="1">Optionen!B11&amp;", "&amp;TEXT((DAY(TODAY())&amp;"."&amp;MONTH(TODAY())&amp;"."&amp;YEAR(TODAY())),"T. MMMM JJJJ")</f>
        <v>, 6. Februar 2012</v>
      </c>
      <c r="B42" s="104"/>
      <c r="C42" s="104"/>
      <c r="D42" s="104"/>
      <c r="E42" s="104"/>
      <c r="F42" s="104"/>
      <c r="G42" s="104"/>
      <c r="I42" s="62"/>
      <c r="J42" s="62"/>
      <c r="K42" s="62"/>
      <c r="L42" s="62"/>
      <c r="M42" s="62"/>
      <c r="N42" s="62"/>
      <c r="O42" s="62"/>
    </row>
    <row r="43" spans="1:6" s="60" customFormat="1" ht="14.25" customHeight="1">
      <c r="A43" s="73"/>
      <c r="F43" s="72"/>
    </row>
    <row r="44" spans="1:6" s="60" customFormat="1" ht="14.25" customHeight="1">
      <c r="A44" s="72" t="str">
        <f>IF(Optionen!B13="Frau","Schulleiterin","Schulleiter")</f>
        <v>Schulleiter</v>
      </c>
      <c r="F44" s="72" t="str">
        <f>IF(Optionen!B14="Frau","Klassenleiterin","Klassenleiter")</f>
        <v>Klassenleiter</v>
      </c>
    </row>
    <row r="45" spans="1:7" s="60" customFormat="1" ht="22.5" customHeight="1">
      <c r="A45" s="74" t="str">
        <f>IF(Optionen!B25=3,Optionen!D13,IF(Optionen!B25=2,Optionen!C13&amp;" "&amp;Optionen!D13,MID(Optionen!C13,1,1)&amp;". "&amp;Optionen!D13))</f>
        <v>. </v>
      </c>
      <c r="B45" s="75"/>
      <c r="C45" s="75"/>
      <c r="D45" s="75"/>
      <c r="E45" s="75"/>
      <c r="F45" s="74" t="str">
        <f>IF(Optionen!B25=3,Optionen!D14,IF(Optionen!B25=2,Optionen!C14&amp;" "&amp;Optionen!D14,MID(Optionen!C14,1,1)&amp;". "&amp;Optionen!D14))</f>
        <v>. </v>
      </c>
      <c r="G45" s="75"/>
    </row>
    <row r="46" spans="1:6" s="60" customFormat="1" ht="15">
      <c r="A46" s="76" t="str">
        <f>A45&amp;", "&amp;Optionen!E13</f>
        <v>. , </v>
      </c>
      <c r="F46" s="76" t="str">
        <f>F45&amp;", "&amp;Optionen!E14</f>
        <v>. , </v>
      </c>
    </row>
    <row r="47" s="60" customFormat="1" ht="12"/>
    <row r="48" s="60" customFormat="1" ht="12.75">
      <c r="A48" s="72" t="str">
        <f>IF(Optionen!F6="z","Kenntnis genommen:","")</f>
        <v>Kenntnis genommen:</v>
      </c>
    </row>
    <row r="49" spans="1:7" s="60" customFormat="1" ht="19.5" customHeight="1">
      <c r="A49" s="77" t="str">
        <f ca="1">Optionen!B29&amp;", den "&amp;TEXT((DAY(TODAY())&amp;"."&amp;MONTH(TODAY())&amp;"."&amp;YEAR(TODAY())),"T. MMMM JJJJ")</f>
        <v>, den 6. Februar 2012</v>
      </c>
      <c r="B49" s="78"/>
      <c r="C49" s="78"/>
      <c r="E49" s="79">
        <f>Optionen!B5</f>
        <v>0</v>
      </c>
      <c r="F49" s="80"/>
      <c r="G49" s="80"/>
    </row>
    <row r="50" s="60" customFormat="1" ht="12">
      <c r="E50" s="81" t="str">
        <f>IF(Optionen!F6="z","(Unterschrift eines Erziehungsberechtigten)","")</f>
        <v>(Unterschrift eines Erziehungsberechtigten)</v>
      </c>
    </row>
    <row r="51" spans="1:7" s="60" customFormat="1" ht="12">
      <c r="A51" s="94" t="str">
        <f>IF(Optionen!F6="z","Notenstufen: 1="&amp;Optionen!B32&amp;", 2="&amp;Optionen!B33&amp;", 3="&amp;Optionen!B34&amp;", 4="&amp;Optionen!B35&amp;", 5="&amp;Optionen!B36&amp;", 6="&amp;Optionen!B37,"Notenstufen: "&amp;Optionen!B32&amp;", "&amp;Optionen!B33&amp;", "&amp;Optionen!B34&amp;", "&amp;Optionen!B35&amp;", "&amp;Optionen!B36&amp;", "&amp;Optionen!B37)</f>
        <v>Notenstufen: 1=sehr gut, 2=gut, 3=befriedigend, 4=ausreichend, 5=mangelhaft, 6=ungenügend</v>
      </c>
      <c r="B51" s="94"/>
      <c r="C51" s="94"/>
      <c r="D51" s="94"/>
      <c r="E51" s="94"/>
      <c r="F51" s="94"/>
      <c r="G51" s="94"/>
    </row>
    <row r="52" spans="1:7" s="60" customFormat="1" ht="12">
      <c r="A52" s="105" t="s">
        <v>119</v>
      </c>
      <c r="B52" s="105"/>
      <c r="C52" s="105"/>
      <c r="D52" s="105"/>
      <c r="E52" s="105"/>
      <c r="F52" s="105"/>
      <c r="G52" s="105"/>
    </row>
    <row r="53" s="60" customFormat="1" ht="12"/>
    <row r="54" s="60" customFormat="1" ht="12"/>
    <row r="55" s="60" customFormat="1" ht="12"/>
    <row r="56" s="60" customFormat="1" ht="12"/>
    <row r="57" s="60" customFormat="1" ht="12"/>
    <row r="58" s="60" customFormat="1" ht="12"/>
    <row r="59" s="60" customFormat="1" ht="12"/>
    <row r="60" s="60" customFormat="1" ht="12"/>
    <row r="61" s="60" customFormat="1" ht="12"/>
    <row r="62" s="60" customFormat="1" ht="12"/>
    <row r="63" s="60" customFormat="1" ht="12"/>
    <row r="64" s="60" customFormat="1" ht="12"/>
    <row r="65" s="60" customFormat="1" ht="12"/>
    <row r="66" s="60" customFormat="1" ht="12"/>
    <row r="67" s="60" customFormat="1" ht="12"/>
    <row r="68" s="60" customFormat="1" ht="12"/>
    <row r="69" s="60" customFormat="1" ht="12"/>
    <row r="70" s="60" customFormat="1" ht="12"/>
    <row r="71" s="60" customFormat="1" ht="12"/>
    <row r="72" s="60" customFormat="1" ht="12"/>
    <row r="73" s="60" customFormat="1" ht="12"/>
    <row r="74" s="60" customFormat="1" ht="12"/>
    <row r="75" s="60" customFormat="1" ht="12"/>
    <row r="76" s="60" customFormat="1" ht="12"/>
    <row r="77" s="60" customFormat="1" ht="12"/>
    <row r="78" s="60" customFormat="1" ht="12"/>
    <row r="79" s="60" customFormat="1" ht="12"/>
    <row r="80" s="60" customFormat="1" ht="12"/>
    <row r="81" s="60" customFormat="1" ht="12"/>
    <row r="82" s="60" customFormat="1" ht="12"/>
    <row r="83" s="60" customFormat="1" ht="12"/>
    <row r="84" s="60" customFormat="1" ht="12"/>
    <row r="85" s="60" customFormat="1" ht="12"/>
    <row r="86" s="60" customFormat="1" ht="12"/>
    <row r="87" s="60" customFormat="1" ht="12"/>
    <row r="88" s="60" customFormat="1" ht="12"/>
    <row r="89" s="60" customFormat="1" ht="12"/>
    <row r="90" s="60" customFormat="1" ht="12"/>
    <row r="91" s="60" customFormat="1" ht="12"/>
    <row r="92" s="60" customFormat="1" ht="12"/>
    <row r="93" s="60" customFormat="1" ht="12"/>
    <row r="94" s="60" customFormat="1" ht="12"/>
    <row r="95" s="60" customFormat="1" ht="12"/>
    <row r="96" s="60" customFormat="1" ht="12"/>
    <row r="97" s="60" customFormat="1" ht="12"/>
    <row r="98" s="60" customFormat="1" ht="12"/>
    <row r="99" s="60" customFormat="1" ht="12"/>
    <row r="100" s="60" customFormat="1" ht="12"/>
    <row r="101" s="60" customFormat="1" ht="12"/>
    <row r="102" s="60" customFormat="1" ht="12"/>
    <row r="103" s="60" customFormat="1" ht="12"/>
    <row r="104" s="60" customFormat="1" ht="12"/>
    <row r="105" s="60" customFormat="1" ht="12"/>
    <row r="106" s="60" customFormat="1" ht="12"/>
    <row r="107" s="60" customFormat="1" ht="12"/>
    <row r="108" s="60" customFormat="1" ht="12"/>
    <row r="109" s="60" customFormat="1" ht="12"/>
    <row r="110" s="60" customFormat="1" ht="12"/>
    <row r="111" s="60" customFormat="1" ht="12"/>
    <row r="112" s="60" customFormat="1" ht="12"/>
    <row r="113" s="60" customFormat="1" ht="12"/>
    <row r="114" s="60" customFormat="1" ht="12"/>
    <row r="115" s="60" customFormat="1" ht="12"/>
    <row r="116" s="60" customFormat="1" ht="12"/>
    <row r="117" s="60" customFormat="1" ht="12"/>
    <row r="118" s="60" customFormat="1" ht="12"/>
    <row r="119" s="60" customFormat="1" ht="12"/>
    <row r="120" s="60" customFormat="1" ht="12"/>
    <row r="121" s="60" customFormat="1" ht="12"/>
    <row r="122" s="60" customFormat="1" ht="12"/>
    <row r="123" s="60" customFormat="1" ht="12"/>
    <row r="124" s="60" customFormat="1" ht="12"/>
    <row r="125" s="60" customFormat="1" ht="12"/>
    <row r="126" s="60" customFormat="1" ht="12"/>
    <row r="127" s="60" customFormat="1" ht="12"/>
    <row r="128" s="60" customFormat="1" ht="12"/>
    <row r="129" s="60" customFormat="1" ht="12"/>
    <row r="130" s="60" customFormat="1" ht="12"/>
    <row r="131" s="60" customFormat="1" ht="12"/>
    <row r="132" s="60" customFormat="1" ht="12"/>
    <row r="133" s="60" customFormat="1" ht="12"/>
    <row r="134" s="60" customFormat="1" ht="12"/>
    <row r="135" s="60" customFormat="1" ht="12"/>
    <row r="136" s="60" customFormat="1" ht="12"/>
    <row r="137" s="60" customFormat="1" ht="12"/>
    <row r="138" s="60" customFormat="1" ht="12"/>
    <row r="139" s="60" customFormat="1" ht="12"/>
    <row r="140" s="60" customFormat="1" ht="12"/>
    <row r="141" s="60" customFormat="1" ht="12"/>
    <row r="142" s="60" customFormat="1" ht="12"/>
    <row r="143" s="60" customFormat="1" ht="12"/>
    <row r="144" s="60" customFormat="1" ht="12"/>
    <row r="145" s="60" customFormat="1" ht="12"/>
    <row r="146" s="60" customFormat="1" ht="12"/>
    <row r="147" s="60" customFormat="1" ht="12"/>
    <row r="148" s="60" customFormat="1" ht="12"/>
    <row r="149" s="60" customFormat="1" ht="12"/>
    <row r="150" s="60" customFormat="1" ht="12"/>
    <row r="151" s="60" customFormat="1" ht="12"/>
    <row r="152" s="60" customFormat="1" ht="12"/>
    <row r="153" s="60" customFormat="1" ht="12"/>
    <row r="154" s="60" customFormat="1" ht="12"/>
    <row r="155" s="60" customFormat="1" ht="12"/>
    <row r="156" s="60" customFormat="1" ht="12"/>
    <row r="157" s="60" customFormat="1" ht="12"/>
    <row r="158" s="60" customFormat="1" ht="12"/>
    <row r="159" s="60" customFormat="1" ht="12"/>
    <row r="160" s="60" customFormat="1" ht="12"/>
    <row r="161" s="60" customFormat="1" ht="12"/>
    <row r="162" s="60" customFormat="1" ht="12"/>
    <row r="163" s="60" customFormat="1" ht="12"/>
    <row r="164" s="60" customFormat="1" ht="12"/>
    <row r="165" s="60" customFormat="1" ht="12"/>
    <row r="166" s="60" customFormat="1" ht="12"/>
    <row r="167" s="60" customFormat="1" ht="12"/>
    <row r="168" s="60" customFormat="1" ht="12"/>
    <row r="169" s="60" customFormat="1" ht="12"/>
    <row r="170" s="60" customFormat="1" ht="12"/>
    <row r="171" s="60" customFormat="1" ht="12"/>
    <row r="172" s="60" customFormat="1" ht="12"/>
    <row r="173" s="60" customFormat="1" ht="12"/>
    <row r="174" s="60" customFormat="1" ht="12"/>
    <row r="175" s="60" customFormat="1" ht="12"/>
    <row r="176" s="60" customFormat="1" ht="12"/>
    <row r="177" s="60" customFormat="1" ht="12"/>
    <row r="178" s="60" customFormat="1" ht="12"/>
    <row r="179" s="60" customFormat="1" ht="12"/>
    <row r="180" s="60" customFormat="1" ht="12"/>
  </sheetData>
  <sheetProtection selectLockedCells="1" selectUnlockedCells="1"/>
  <mergeCells count="47">
    <mergeCell ref="A40:G40"/>
    <mergeCell ref="A42:G42"/>
    <mergeCell ref="A51:G51"/>
    <mergeCell ref="A52:G52"/>
    <mergeCell ref="A34:B34"/>
    <mergeCell ref="E34:F34"/>
    <mergeCell ref="A35:B35"/>
    <mergeCell ref="A37:G37"/>
    <mergeCell ref="A38:G38"/>
    <mergeCell ref="A39:G39"/>
    <mergeCell ref="A30:B30"/>
    <mergeCell ref="E30:F30"/>
    <mergeCell ref="A31:B31"/>
    <mergeCell ref="A32:B32"/>
    <mergeCell ref="E32:F32"/>
    <mergeCell ref="A33:B33"/>
    <mergeCell ref="A26:B26"/>
    <mergeCell ref="E26:F26"/>
    <mergeCell ref="A27:B27"/>
    <mergeCell ref="A28:B28"/>
    <mergeCell ref="E28:F28"/>
    <mergeCell ref="A29:B29"/>
    <mergeCell ref="A22:B22"/>
    <mergeCell ref="A23:B23"/>
    <mergeCell ref="E23:F23"/>
    <mergeCell ref="A24:B24"/>
    <mergeCell ref="A25:B25"/>
    <mergeCell ref="E25:F25"/>
    <mergeCell ref="A18:B18"/>
    <mergeCell ref="A19:B19"/>
    <mergeCell ref="E19:F19"/>
    <mergeCell ref="A20:B20"/>
    <mergeCell ref="A21:B21"/>
    <mergeCell ref="E21:F21"/>
    <mergeCell ref="A8:G8"/>
    <mergeCell ref="A9:G9"/>
    <mergeCell ref="A10:G10"/>
    <mergeCell ref="A11:G13"/>
    <mergeCell ref="A15:G15"/>
    <mergeCell ref="A17:B17"/>
    <mergeCell ref="E17:F17"/>
    <mergeCell ref="A1:G1"/>
    <mergeCell ref="A2:G2"/>
    <mergeCell ref="A3:G3"/>
    <mergeCell ref="A4:G4"/>
    <mergeCell ref="A5:G5"/>
    <mergeCell ref="A6:G6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&amp;CSeite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22"/>
  <sheetViews>
    <sheetView showGridLines="0" workbookViewId="0" topLeftCell="A1">
      <selection activeCell="B16" sqref="B16"/>
    </sheetView>
  </sheetViews>
  <sheetFormatPr defaultColWidth="11.7109375" defaultRowHeight="12.75"/>
  <cols>
    <col min="1" max="1" width="11.7109375" style="0" customWidth="1"/>
    <col min="2" max="2" width="14.140625" style="0" customWidth="1"/>
    <col min="3" max="3" width="5.00390625" style="0" customWidth="1"/>
    <col min="4" max="4" width="5.421875" style="0" customWidth="1"/>
    <col min="5" max="5" width="10.28125" style="0" customWidth="1"/>
  </cols>
  <sheetData>
    <row r="1" spans="1:5" s="83" customFormat="1" ht="15">
      <c r="A1" s="82" t="s">
        <v>120</v>
      </c>
      <c r="C1" s="83" t="s">
        <v>121</v>
      </c>
      <c r="D1" s="84">
        <v>2</v>
      </c>
      <c r="E1" s="83" t="s">
        <v>122</v>
      </c>
    </row>
    <row r="2" s="83" customFormat="1" ht="15"/>
    <row r="3" s="83" customFormat="1" ht="15">
      <c r="A3" s="83" t="s">
        <v>123</v>
      </c>
    </row>
    <row r="4" spans="1:5" s="83" customFormat="1" ht="15">
      <c r="A4" s="106" t="s">
        <v>124</v>
      </c>
      <c r="B4" s="106"/>
      <c r="C4" s="106"/>
      <c r="D4" s="106"/>
      <c r="E4" s="85" t="e">
        <f>ROUND(SUM(Noteneingabe!G6,Noteneingabe!G13,Noteneingabe!G20,Noteneingabe!G27,Noteneingabe!G34,Noteneingabe!G41,Noteneingabe!G48,Noteneingabe!G55,Noteneingabe!G62,Noteneingabe!G69,Noteneingabe!G76,Noteneingabe!G83,Noteneingabe!G90,Noteneingabe!G97,Noteneingabe!G104,Noteneingabe!G111,Noteneingabe!G118,Noteneingabe!G125,Noteneingabe!G132,Noteneingabe!G139)/COUNT(Noteneingabe!G6,Noteneingabe!G13,Noteneingabe!G20,Noteneingabe!G27,Noteneingabe!G34,Noteneingabe!G41,Noteneingabe!G48,Noteneingabe!G55,Noteneingabe!G62,Noteneingabe!G69,Noteneingabe!G76,Noteneingabe!G83,Noteneingabe!G90,Noteneingabe!G97,Noteneingabe!G104,Noteneingabe!G111,Noteneingabe!G118,Noteneingabe!G125,Noteneingabe!G132,Noteneingabe!G139),$D$1)</f>
        <v>#DIV/0!</v>
      </c>
    </row>
    <row r="5" spans="1:5" s="83" customFormat="1" ht="15">
      <c r="A5" s="106" t="s">
        <v>125</v>
      </c>
      <c r="B5" s="106"/>
      <c r="C5" s="106"/>
      <c r="D5" s="106"/>
      <c r="E5" s="85" t="e">
        <f>ROUND(SUM(Noteneingabe!B6,Noteneingabe!B13,Noteneingabe!B20,Noteneingabe!B27,Noteneingabe!B34,Noteneingabe!B41,Noteneingabe!B48,Noteneingabe!B55,Noteneingabe!B62,Noteneingabe!B69,Noteneingabe!B76,Noteneingabe!B83,Noteneingabe!B90,Noteneingabe!B97,Noteneingabe!B104,Noteneingabe!B111,Noteneingabe!B118,Noteneingabe!B125,Noteneingabe!B132,Noteneingabe!B139)/COUNT(Noteneingabe!B6,Noteneingabe!B13,Noteneingabe!B20,Noteneingabe!B27,Noteneingabe!B34,Noteneingabe!B41,Noteneingabe!B48,Noteneingabe!B55,Noteneingabe!B62,Noteneingabe!B69,Noteneingabe!B76,Noteneingabe!B83,Noteneingabe!B90,Noteneingabe!B97,Noteneingabe!B104,Noteneingabe!B111,Noteneingabe!B118,Noteneingabe!B125,Noteneingabe!B132,Noteneingabe!B139),$D$1)</f>
        <v>#DIV/0!</v>
      </c>
    </row>
    <row r="6" spans="1:5" s="83" customFormat="1" ht="15">
      <c r="A6" s="106" t="str">
        <f>"... aller "&amp;Optionen!B46</f>
        <v>... aller Arbeiten</v>
      </c>
      <c r="B6" s="106"/>
      <c r="C6" s="106"/>
      <c r="D6" s="106"/>
      <c r="E6" s="85" t="e">
        <f>ROUND(SUM(Noteneingabe!C2:L2,Noteneingabe!C9:L9,Noteneingabe!C16:L16,Noteneingabe!C23:L23,Noteneingabe!C30:L30,Noteneingabe!C37:L37,Noteneingabe!C44:L44,Noteneingabe!C51:L51,Noteneingabe!C58:L58,Noteneingabe!C65:L65,Noteneingabe!C72:L72,Noteneingabe!C79:L79,Noteneingabe!C86:L86,Noteneingabe!C93:L93,Noteneingabe!C100:L100,Noteneingabe!C107:L107,Noteneingabe!C114:L114,Noteneingabe!C121:L121,Noteneingabe!C128:L128,Noteneingabe!C135:L135)/COUNT(Noteneingabe!C2:L2,Noteneingabe!C9:L9,Noteneingabe!C16:L16,Noteneingabe!C23:L23,Noteneingabe!C30:L30,Noteneingabe!C37:L37,Noteneingabe!C44:L44,Noteneingabe!C51:L51,Noteneingabe!C58:L58,Noteneingabe!C65:L65,Noteneingabe!C72:L72,Noteneingabe!C79:L79,Noteneingabe!C86:L86,Noteneingabe!C93:L93,Noteneingabe!C100:L100,Noteneingabe!C107:L107,Noteneingabe!C114:L114,Noteneingabe!C121:L121,Noteneingabe!C128:L128,Noteneingabe!C135:L135),$D$1)</f>
        <v>#DIV/0!</v>
      </c>
    </row>
    <row r="7" spans="1:5" s="83" customFormat="1" ht="15">
      <c r="A7" s="106" t="str">
        <f>"... aller "&amp;Optionen!B47</f>
        <v>... aller HÜ</v>
      </c>
      <c r="B7" s="106"/>
      <c r="C7" s="106"/>
      <c r="D7" s="106"/>
      <c r="E7" s="85" t="e">
        <f>ROUND(SUM(Noteneingabe!C3:L3,Noteneingabe!C10:L10,Noteneingabe!C17:L17,Noteneingabe!C24:L24,Noteneingabe!C31:L31,Noteneingabe!C38:L38,Noteneingabe!C45:L45,Noteneingabe!C52:L52,Noteneingabe!C59:L59,Noteneingabe!C66:L66,Noteneingabe!C73:L73,Noteneingabe!C80:L80,Noteneingabe!C87:L87,Noteneingabe!C94:L94,Noteneingabe!C101:L101,Noteneingabe!C108:L108,Noteneingabe!C115:L115,Noteneingabe!C122:L122,Noteneingabe!C129:L129,Noteneingabe!C136:L136)/COUNT(Noteneingabe!C3:L3,Noteneingabe!C10:L10,Noteneingabe!C17:L17,Noteneingabe!C24:L24,Noteneingabe!C31:L31,Noteneingabe!C38:L38,Noteneingabe!C45:L45,Noteneingabe!C52:L52,Noteneingabe!C59:L59,Noteneingabe!C66:L66,Noteneingabe!C73:L73,Noteneingabe!C80:L80,Noteneingabe!C87:L87,Noteneingabe!C94:L94,Noteneingabe!C101:L101,Noteneingabe!C108:L108,Noteneingabe!C115:L115,Noteneingabe!C122:L122,Noteneingabe!C129:L129,Noteneingabe!C136:L136),$D$1)</f>
        <v>#DIV/0!</v>
      </c>
    </row>
    <row r="8" spans="1:5" s="83" customFormat="1" ht="15">
      <c r="A8" s="106" t="str">
        <f>"... aller "&amp;Optionen!B49</f>
        <v>... aller Mitarbeitsnoten</v>
      </c>
      <c r="B8" s="106"/>
      <c r="C8" s="106"/>
      <c r="D8" s="106"/>
      <c r="E8" s="85" t="e">
        <f>ROUND(SUM(Noteneingabe!C5:L5,Noteneingabe!C12:L12,Noteneingabe!C19:L19,Noteneingabe!C26:L26,Noteneingabe!C33:L33,Noteneingabe!C40:L40,Noteneingabe!C47:L47,Noteneingabe!C54:L54,Noteneingabe!C61:L61,Noteneingabe!C68:L68,Noteneingabe!C75:L75,Noteneingabe!C82:L82,Noteneingabe!C89:L89,Noteneingabe!C96:L96,Noteneingabe!C103:L103,Noteneingabe!C110:L110,Noteneingabe!C117:L117,Noteneingabe!C124:L124,Noteneingabe!C131:L131,Noteneingabe!C138:L138)/COUNT(Noteneingabe!C5:L5,Noteneingabe!C12:L12,Noteneingabe!C19:L19,Noteneingabe!C26:L26,Noteneingabe!C33:L33,Noteneingabe!C40:L40,Noteneingabe!C47:L47,Noteneingabe!C54:L54,Noteneingabe!C61:L61,Noteneingabe!C68:L68,Noteneingabe!C75:L75,Noteneingabe!C82:L82,Noteneingabe!C89:L89,Noteneingabe!C96:L96,Noteneingabe!C103:L103,Noteneingabe!C110:L110,Noteneingabe!C117:L117,Noteneingabe!C124:L124,Noteneingabe!C131:L131,Noteneingabe!C138:L138),$D$1)</f>
        <v>#DIV/0!</v>
      </c>
    </row>
    <row r="9" spans="1:5" s="83" customFormat="1" ht="15">
      <c r="A9" s="106" t="s">
        <v>126</v>
      </c>
      <c r="B9" s="106"/>
      <c r="C9" s="106"/>
      <c r="D9" s="106"/>
      <c r="E9" s="85" t="e">
        <f>ROUND(SUM(Noteneingabe!C2:L5,Noteneingabe!C9:L12,Noteneingabe!C16:L19,Noteneingabe!C23:L26,Noteneingabe!C30:L33,Noteneingabe!C37:L40,Noteneingabe!C44:L47,Noteneingabe!C51:L54,Noteneingabe!C58:L61,Noteneingabe!C65:L68,Noteneingabe!C72:L75,Noteneingabe!C79:L82,Noteneingabe!C86:L89,Noteneingabe!C93:L96,Noteneingabe!C100:L103,Noteneingabe!C107:L110,Noteneingabe!C114:L117,Noteneingabe!C121:L124,Noteneingabe!C128:L131,Noteneingabe!C135:L138)/COUNT(Noteneingabe!C2:L5,Noteneingabe!C9:L12,Noteneingabe!C16:L19,Noteneingabe!C23:L26,Noteneingabe!C30:L33,Noteneingabe!C37:L40,Noteneingabe!C44:L47,Noteneingabe!C51:L54,Noteneingabe!C58:L61,Noteneingabe!C65:L68,Noteneingabe!C72:L75,Noteneingabe!C79:L82,Noteneingabe!C86:L89,Noteneingabe!C93:L96,Noteneingabe!C100:L103,Noteneingabe!C107:L110,Noteneingabe!C114:L117,Noteneingabe!C121:L124,Noteneingabe!C128:L131,Noteneingabe!C135:L138),$D$1)</f>
        <v>#DIV/0!</v>
      </c>
    </row>
    <row r="10" s="83" customFormat="1" ht="15"/>
    <row r="11" s="83" customFormat="1" ht="15"/>
    <row r="12" s="83" customFormat="1" ht="15">
      <c r="A12" s="82" t="s">
        <v>127</v>
      </c>
    </row>
    <row r="13" s="83" customFormat="1" ht="15"/>
    <row r="14" spans="1:2" s="83" customFormat="1" ht="15">
      <c r="A14" s="86" t="s">
        <v>128</v>
      </c>
      <c r="B14" s="86" t="s">
        <v>129</v>
      </c>
    </row>
    <row r="15" spans="1:2" s="83" customFormat="1" ht="15">
      <c r="A15" s="86">
        <v>1</v>
      </c>
      <c r="B15" s="86">
        <f>Noteneingabe!T6+Noteneingabe!T13+Noteneingabe!T20+Noteneingabe!T27+Noteneingabe!T34+Noteneingabe!T41+Noteneingabe!T48+Noteneingabe!T55+Noteneingabe!T62+Noteneingabe!T69+Noteneingabe!T76+Noteneingabe!T83+Noteneingabe!T90+Noteneingabe!T97+Noteneingabe!T104+Noteneingabe!T111+Noteneingabe!T118+Noteneingabe!T125+Noteneingabe!T132+Noteneingabe!T139</f>
        <v>0</v>
      </c>
    </row>
    <row r="16" spans="1:2" s="83" customFormat="1" ht="15">
      <c r="A16" s="86">
        <v>2</v>
      </c>
      <c r="B16" s="86">
        <f>Noteneingabe!U6+Noteneingabe!U13+Noteneingabe!U20+Noteneingabe!U27+Noteneingabe!U34+Noteneingabe!U41+Noteneingabe!U48+Noteneingabe!U55+Noteneingabe!U62+Noteneingabe!U69+Noteneingabe!U76+Noteneingabe!U83+Noteneingabe!U90+Noteneingabe!U97+Noteneingabe!U104+Noteneingabe!U111+Noteneingabe!U118+Noteneingabe!U125+Noteneingabe!U132+Noteneingabe!U139</f>
        <v>0</v>
      </c>
    </row>
    <row r="17" spans="1:2" s="83" customFormat="1" ht="15">
      <c r="A17" s="86">
        <v>3</v>
      </c>
      <c r="B17" s="86">
        <f>Noteneingabe!V6+Noteneingabe!V13+Noteneingabe!V20+Noteneingabe!V27+Noteneingabe!V34+Noteneingabe!V41+Noteneingabe!V48+Noteneingabe!V55+Noteneingabe!V62+Noteneingabe!V69+Noteneingabe!V76+Noteneingabe!V83+Noteneingabe!V90+Noteneingabe!V97+Noteneingabe!V104+Noteneingabe!V111+Noteneingabe!V118+Noteneingabe!V125+Noteneingabe!V132+Noteneingabe!V139</f>
        <v>0</v>
      </c>
    </row>
    <row r="18" spans="1:2" s="83" customFormat="1" ht="15">
      <c r="A18" s="86">
        <v>4</v>
      </c>
      <c r="B18" s="86">
        <f>Noteneingabe!W6+Noteneingabe!W13+Noteneingabe!W20+Noteneingabe!W27+Noteneingabe!W34+Noteneingabe!W41+Noteneingabe!W48+Noteneingabe!W55+Noteneingabe!W62+Noteneingabe!W69+Noteneingabe!W76+Noteneingabe!W83+Noteneingabe!W90+Noteneingabe!W97+Noteneingabe!W104+Noteneingabe!W111+Noteneingabe!W118+Noteneingabe!W125+Noteneingabe!W132+Noteneingabe!W139</f>
        <v>0</v>
      </c>
    </row>
    <row r="19" spans="1:2" s="83" customFormat="1" ht="15">
      <c r="A19" s="86">
        <v>5</v>
      </c>
      <c r="B19" s="86">
        <f>Noteneingabe!X6+Noteneingabe!X13+Noteneingabe!X20+Noteneingabe!X27+Noteneingabe!X34+Noteneingabe!X41+Noteneingabe!X48+Noteneingabe!X55+Noteneingabe!X62+Noteneingabe!X69+Noteneingabe!X76+Noteneingabe!X83+Noteneingabe!X90+Noteneingabe!X97+Noteneingabe!X104+Noteneingabe!X111+Noteneingabe!X118+Noteneingabe!X125+Noteneingabe!X132+Noteneingabe!X139</f>
        <v>0</v>
      </c>
    </row>
    <row r="20" spans="1:2" s="83" customFormat="1" ht="15">
      <c r="A20" s="86">
        <v>6</v>
      </c>
      <c r="B20" s="86">
        <f>Noteneingabe!Y6+Noteneingabe!Y13+Noteneingabe!Y20+Noteneingabe!Y27+Noteneingabe!Y34+Noteneingabe!Y41+Noteneingabe!Y48+Noteneingabe!Y55+Noteneingabe!Y62+Noteneingabe!Y69+Noteneingabe!Y76+Noteneingabe!Y83+Noteneingabe!Y90+Noteneingabe!Y97+Noteneingabe!Y104+Noteneingabe!Y111+Noteneingabe!Y118+Noteneingabe!Y125+Noteneingabe!Y132+Noteneingabe!Y139</f>
        <v>0</v>
      </c>
    </row>
    <row r="21" s="83" customFormat="1" ht="15"/>
    <row r="22" s="83" customFormat="1" ht="15">
      <c r="A22" s="87"/>
    </row>
    <row r="23" s="83" customFormat="1" ht="15"/>
    <row r="24" s="83" customFormat="1" ht="15"/>
    <row r="25" s="83" customFormat="1" ht="15"/>
    <row r="26" s="83" customFormat="1" ht="15"/>
    <row r="27" s="83" customFormat="1" ht="15"/>
    <row r="28" s="83" customFormat="1" ht="15"/>
    <row r="29" s="83" customFormat="1" ht="15"/>
    <row r="30" s="83" customFormat="1" ht="15"/>
    <row r="31" s="83" customFormat="1" ht="15"/>
    <row r="32" s="83" customFormat="1" ht="15"/>
    <row r="33" s="83" customFormat="1" ht="15"/>
    <row r="34" s="83" customFormat="1" ht="15"/>
    <row r="35" s="83" customFormat="1" ht="15"/>
    <row r="36" s="83" customFormat="1" ht="15"/>
    <row r="37" s="83" customFormat="1" ht="15"/>
    <row r="38" s="83" customFormat="1" ht="15"/>
    <row r="39" s="83" customFormat="1" ht="15"/>
    <row r="40" s="83" customFormat="1" ht="15"/>
    <row r="41" s="83" customFormat="1" ht="15"/>
    <row r="42" s="83" customFormat="1" ht="15"/>
    <row r="43" s="83" customFormat="1" ht="15"/>
    <row r="44" s="83" customFormat="1" ht="15"/>
    <row r="45" s="83" customFormat="1" ht="15"/>
    <row r="46" s="83" customFormat="1" ht="15"/>
    <row r="47" s="83" customFormat="1" ht="15"/>
    <row r="48" s="83" customFormat="1" ht="15"/>
    <row r="49" s="83" customFormat="1" ht="15"/>
    <row r="50" s="83" customFormat="1" ht="15"/>
    <row r="51" s="83" customFormat="1" ht="15"/>
    <row r="52" s="83" customFormat="1" ht="15"/>
    <row r="53" s="83" customFormat="1" ht="15"/>
    <row r="54" s="83" customFormat="1" ht="15"/>
    <row r="55" s="83" customFormat="1" ht="15"/>
    <row r="56" s="83" customFormat="1" ht="15"/>
    <row r="57" s="83" customFormat="1" ht="15"/>
    <row r="58" s="83" customFormat="1" ht="15"/>
    <row r="59" s="83" customFormat="1" ht="15"/>
    <row r="60" s="83" customFormat="1" ht="15"/>
    <row r="61" s="83" customFormat="1" ht="15"/>
    <row r="62" s="83" customFormat="1" ht="15"/>
    <row r="63" s="83" customFormat="1" ht="15"/>
    <row r="64" s="83" customFormat="1" ht="15"/>
    <row r="65" s="83" customFormat="1" ht="15"/>
    <row r="66" s="83" customFormat="1" ht="15"/>
    <row r="67" s="83" customFormat="1" ht="15"/>
    <row r="68" s="83" customFormat="1" ht="15"/>
    <row r="69" s="83" customFormat="1" ht="15"/>
    <row r="70" s="83" customFormat="1" ht="15"/>
    <row r="71" s="83" customFormat="1" ht="15"/>
    <row r="72" s="83" customFormat="1" ht="15"/>
    <row r="73" s="83" customFormat="1" ht="15"/>
    <row r="74" s="83" customFormat="1" ht="15"/>
    <row r="75" s="83" customFormat="1" ht="15"/>
    <row r="76" s="83" customFormat="1" ht="15"/>
    <row r="77" s="83" customFormat="1" ht="15"/>
    <row r="78" s="83" customFormat="1" ht="15"/>
    <row r="79" s="83" customFormat="1" ht="15"/>
    <row r="80" s="83" customFormat="1" ht="15"/>
    <row r="81" s="83" customFormat="1" ht="15"/>
    <row r="82" s="83" customFormat="1" ht="15"/>
    <row r="83" s="83" customFormat="1" ht="15"/>
    <row r="84" s="83" customFormat="1" ht="15"/>
    <row r="85" s="83" customFormat="1" ht="15"/>
    <row r="86" s="83" customFormat="1" ht="15"/>
    <row r="87" s="83" customFormat="1" ht="15"/>
    <row r="88" s="83" customFormat="1" ht="15"/>
    <row r="89" s="83" customFormat="1" ht="15"/>
    <row r="90" s="83" customFormat="1" ht="15"/>
    <row r="91" s="83" customFormat="1" ht="15"/>
    <row r="92" s="83" customFormat="1" ht="15"/>
    <row r="93" s="83" customFormat="1" ht="15"/>
    <row r="94" s="83" customFormat="1" ht="15"/>
    <row r="95" s="83" customFormat="1" ht="15"/>
    <row r="96" s="83" customFormat="1" ht="15"/>
    <row r="97" s="83" customFormat="1" ht="15"/>
    <row r="98" s="83" customFormat="1" ht="15"/>
    <row r="99" s="83" customFormat="1" ht="15"/>
    <row r="100" s="83" customFormat="1" ht="15"/>
    <row r="101" s="83" customFormat="1" ht="15"/>
    <row r="102" s="83" customFormat="1" ht="15"/>
    <row r="103" s="83" customFormat="1" ht="15"/>
    <row r="104" s="83" customFormat="1" ht="15"/>
    <row r="105" s="83" customFormat="1" ht="15"/>
    <row r="106" s="83" customFormat="1" ht="15"/>
    <row r="107" s="83" customFormat="1" ht="15"/>
    <row r="108" s="83" customFormat="1" ht="15"/>
    <row r="109" s="83" customFormat="1" ht="15"/>
    <row r="110" s="83" customFormat="1" ht="15"/>
    <row r="111" s="83" customFormat="1" ht="15"/>
    <row r="112" s="83" customFormat="1" ht="15"/>
    <row r="113" s="83" customFormat="1" ht="15"/>
    <row r="114" s="83" customFormat="1" ht="15"/>
    <row r="115" s="83" customFormat="1" ht="15"/>
    <row r="116" s="83" customFormat="1" ht="15"/>
    <row r="117" s="83" customFormat="1" ht="15"/>
    <row r="118" s="83" customFormat="1" ht="15"/>
    <row r="119" s="83" customFormat="1" ht="15"/>
    <row r="120" s="83" customFormat="1" ht="15"/>
    <row r="121" s="83" customFormat="1" ht="15"/>
    <row r="122" s="83" customFormat="1" ht="15"/>
    <row r="123" s="83" customFormat="1" ht="15"/>
    <row r="124" s="83" customFormat="1" ht="15"/>
    <row r="125" s="83" customFormat="1" ht="15"/>
    <row r="126" s="83" customFormat="1" ht="15"/>
    <row r="127" s="83" customFormat="1" ht="15"/>
    <row r="128" s="83" customFormat="1" ht="15"/>
    <row r="129" s="83" customFormat="1" ht="15"/>
    <row r="130" s="83" customFormat="1" ht="15"/>
    <row r="131" s="83" customFormat="1" ht="15"/>
    <row r="132" s="83" customFormat="1" ht="15"/>
    <row r="133" s="83" customFormat="1" ht="15"/>
    <row r="134" s="83" customFormat="1" ht="15"/>
    <row r="135" s="83" customFormat="1" ht="15"/>
    <row r="136" s="83" customFormat="1" ht="15"/>
    <row r="137" s="83" customFormat="1" ht="15"/>
    <row r="138" s="83" customFormat="1" ht="15"/>
    <row r="139" s="83" customFormat="1" ht="15"/>
    <row r="140" s="83" customFormat="1" ht="15"/>
    <row r="141" s="83" customFormat="1" ht="15"/>
    <row r="142" s="83" customFormat="1" ht="15"/>
    <row r="143" s="83" customFormat="1" ht="15"/>
    <row r="144" s="83" customFormat="1" ht="15"/>
    <row r="145" s="83" customFormat="1" ht="15"/>
    <row r="146" s="83" customFormat="1" ht="15"/>
    <row r="147" s="83" customFormat="1" ht="15"/>
    <row r="148" s="83" customFormat="1" ht="15"/>
  </sheetData>
  <sheetProtection selectLockedCells="1" selectUnlockedCells="1"/>
  <mergeCells count="6">
    <mergeCell ref="A4:D4"/>
    <mergeCell ref="A5:D5"/>
    <mergeCell ref="A6:D6"/>
    <mergeCell ref="A7:D7"/>
    <mergeCell ref="A8:D8"/>
    <mergeCell ref="A9:D9"/>
  </mergeCells>
  <conditionalFormatting sqref="A20">
    <cfRule type="cellIs" priority="1" dxfId="0" operator="lessThan" stopIfTrue="1">
      <formula>6</formula>
    </cfRule>
  </conditionalFormatting>
  <dataValidations count="1">
    <dataValidation operator="equal" allowBlank="1" showInputMessage="1" promptTitle="Stellen" prompt="Gib hier ein, auf wieviel Nachkommastellen die Gesamtdurchschnitte gerundet werden sollen." sqref="D1">
      <formula1>0</formula1>
    </dataValidation>
  </dataValidation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&amp;CSeite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